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rm.sharepoint.com/project2055/Analyse/Rapport/Final report/Te versturen/"/>
    </mc:Choice>
  </mc:AlternateContent>
  <xr:revisionPtr revIDLastSave="5" documentId="8_{C189369E-0BC8-453E-BF02-3CFB3D7B41C0}" xr6:coauthVersionLast="47" xr6:coauthVersionMax="47" xr10:uidLastSave="{1742AD76-5EA4-4FED-BB13-905222AED067}"/>
  <bookViews>
    <workbookView xWindow="-98" yWindow="-98" windowWidth="22695" windowHeight="14595" xr2:uid="{218E703B-CC48-4DFD-AB67-5309DE68FEF0}"/>
  </bookViews>
  <sheets>
    <sheet name="R&amp;D mapping" sheetId="6" r:id="rId1"/>
    <sheet name="R&amp;D Execution" sheetId="3" r:id="rId2"/>
    <sheet name="R&amp;D Funding" sheetId="4" r:id="rId3"/>
    <sheet name="VC Funding" sheetId="1" r:id="rId4"/>
    <sheet name="Instruments analysis" sheetId="5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H92" i="6"/>
  <c r="H93" i="6"/>
  <c r="H109" i="6"/>
  <c r="H152" i="6"/>
  <c r="H160" i="6"/>
  <c r="H162" i="6"/>
  <c r="I92" i="6"/>
  <c r="I93" i="6"/>
  <c r="I109" i="6"/>
  <c r="I153" i="6"/>
  <c r="I160" i="6"/>
  <c r="I162" i="6"/>
  <c r="J153" i="6"/>
  <c r="J92" i="6"/>
  <c r="J93" i="6"/>
  <c r="J109" i="6"/>
  <c r="J154" i="6"/>
  <c r="J160" i="6"/>
  <c r="J162" i="6"/>
  <c r="K154" i="6"/>
  <c r="K160" i="6"/>
  <c r="K162" i="6"/>
  <c r="L154" i="6"/>
  <c r="K92" i="6"/>
  <c r="K93" i="6"/>
  <c r="K109" i="6"/>
  <c r="L155" i="6"/>
  <c r="L160" i="6"/>
  <c r="L162" i="6"/>
  <c r="M155" i="6"/>
  <c r="L92" i="6"/>
  <c r="L93" i="6"/>
  <c r="L109" i="6"/>
  <c r="M156" i="6"/>
  <c r="M160" i="6"/>
  <c r="M162" i="6"/>
  <c r="N156" i="6"/>
  <c r="N160" i="6"/>
  <c r="N162" i="6"/>
  <c r="M92" i="6"/>
  <c r="M93" i="6"/>
  <c r="M109" i="6"/>
  <c r="O157" i="6"/>
  <c r="O160" i="6"/>
  <c r="O162" i="6"/>
  <c r="P157" i="6"/>
  <c r="P160" i="6"/>
  <c r="P162" i="6"/>
  <c r="Q157" i="6"/>
  <c r="N92" i="6"/>
  <c r="N93" i="6"/>
  <c r="N109" i="6"/>
  <c r="Q158" i="6"/>
  <c r="Q160" i="6"/>
  <c r="Q162" i="6"/>
  <c r="R158" i="6"/>
  <c r="R160" i="6"/>
  <c r="R162" i="6"/>
  <c r="S158" i="6"/>
  <c r="S160" i="6"/>
  <c r="S162" i="6"/>
  <c r="T158" i="6"/>
  <c r="O92" i="6"/>
  <c r="O93" i="6"/>
  <c r="O109" i="6"/>
  <c r="T159" i="6"/>
  <c r="T160" i="6"/>
  <c r="T162" i="6"/>
  <c r="U159" i="6"/>
  <c r="U160" i="6"/>
  <c r="U162" i="6"/>
  <c r="W162" i="6"/>
  <c r="W152" i="6"/>
  <c r="W153" i="6"/>
  <c r="W154" i="6"/>
  <c r="W155" i="6"/>
  <c r="W156" i="6"/>
  <c r="W157" i="6"/>
  <c r="W158" i="6"/>
  <c r="W159" i="6"/>
  <c r="W160" i="6"/>
  <c r="H108" i="6"/>
  <c r="H134" i="6"/>
  <c r="H142" i="6"/>
  <c r="H144" i="6"/>
  <c r="I108" i="6"/>
  <c r="I135" i="6"/>
  <c r="I142" i="6"/>
  <c r="I144" i="6"/>
  <c r="J135" i="6"/>
  <c r="J108" i="6"/>
  <c r="J136" i="6"/>
  <c r="J142" i="6"/>
  <c r="J144" i="6"/>
  <c r="K136" i="6"/>
  <c r="K142" i="6"/>
  <c r="K144" i="6"/>
  <c r="L136" i="6"/>
  <c r="K108" i="6"/>
  <c r="L137" i="6"/>
  <c r="L142" i="6"/>
  <c r="L144" i="6"/>
  <c r="M137" i="6"/>
  <c r="L108" i="6"/>
  <c r="M138" i="6"/>
  <c r="M142" i="6"/>
  <c r="M144" i="6"/>
  <c r="N138" i="6"/>
  <c r="N142" i="6"/>
  <c r="N144" i="6"/>
  <c r="M108" i="6"/>
  <c r="O139" i="6"/>
  <c r="O142" i="6"/>
  <c r="O144" i="6"/>
  <c r="P139" i="6"/>
  <c r="P142" i="6"/>
  <c r="P144" i="6"/>
  <c r="Q139" i="6"/>
  <c r="N108" i="6"/>
  <c r="Q140" i="6"/>
  <c r="Q142" i="6"/>
  <c r="Q144" i="6"/>
  <c r="R140" i="6"/>
  <c r="R142" i="6"/>
  <c r="R144" i="6"/>
  <c r="S140" i="6"/>
  <c r="S142" i="6"/>
  <c r="S144" i="6"/>
  <c r="T140" i="6"/>
  <c r="O108" i="6"/>
  <c r="T141" i="6"/>
  <c r="T142" i="6"/>
  <c r="T144" i="6"/>
  <c r="U141" i="6"/>
  <c r="U142" i="6"/>
  <c r="U144" i="6"/>
  <c r="W144" i="6"/>
  <c r="W134" i="6"/>
  <c r="W135" i="6"/>
  <c r="W136" i="6"/>
  <c r="W137" i="6"/>
  <c r="W138" i="6"/>
  <c r="W139" i="6"/>
  <c r="W140" i="6"/>
  <c r="W141" i="6"/>
  <c r="W142" i="6"/>
  <c r="H107" i="6"/>
  <c r="H116" i="6"/>
  <c r="H124" i="6"/>
  <c r="H126" i="6"/>
  <c r="I107" i="6"/>
  <c r="I117" i="6"/>
  <c r="I124" i="6"/>
  <c r="I126" i="6"/>
  <c r="J117" i="6"/>
  <c r="J107" i="6"/>
  <c r="J118" i="6"/>
  <c r="J124" i="6"/>
  <c r="J126" i="6"/>
  <c r="K118" i="6"/>
  <c r="K124" i="6"/>
  <c r="K126" i="6"/>
  <c r="L118" i="6"/>
  <c r="K107" i="6"/>
  <c r="L119" i="6"/>
  <c r="L124" i="6"/>
  <c r="L126" i="6"/>
  <c r="M119" i="6"/>
  <c r="L107" i="6"/>
  <c r="M120" i="6"/>
  <c r="M124" i="6"/>
  <c r="M126" i="6"/>
  <c r="N120" i="6"/>
  <c r="N124" i="6"/>
  <c r="N126" i="6"/>
  <c r="M107" i="6"/>
  <c r="O121" i="6"/>
  <c r="O124" i="6"/>
  <c r="O126" i="6"/>
  <c r="P121" i="6"/>
  <c r="P124" i="6"/>
  <c r="P126" i="6"/>
  <c r="Q121" i="6"/>
  <c r="N107" i="6"/>
  <c r="Q122" i="6"/>
  <c r="Q124" i="6"/>
  <c r="Q126" i="6"/>
  <c r="R122" i="6"/>
  <c r="R124" i="6"/>
  <c r="R126" i="6"/>
  <c r="S122" i="6"/>
  <c r="S124" i="6"/>
  <c r="S126" i="6"/>
  <c r="T122" i="6"/>
  <c r="O107" i="6"/>
  <c r="T123" i="6"/>
  <c r="T124" i="6"/>
  <c r="T126" i="6"/>
  <c r="U123" i="6"/>
  <c r="U124" i="6"/>
  <c r="U126" i="6"/>
  <c r="W126" i="6"/>
  <c r="W116" i="6"/>
  <c r="W117" i="6"/>
  <c r="W118" i="6"/>
  <c r="W119" i="6"/>
  <c r="W120" i="6"/>
  <c r="W121" i="6"/>
  <c r="W122" i="6"/>
  <c r="W123" i="6"/>
  <c r="W124" i="6"/>
  <c r="Q109" i="6"/>
  <c r="Q108" i="6"/>
  <c r="Q107" i="6"/>
  <c r="E93" i="1"/>
  <c r="F93" i="1"/>
  <c r="G93" i="1"/>
  <c r="H93" i="1"/>
  <c r="I93" i="1"/>
  <c r="J93" i="1"/>
  <c r="K93" i="1"/>
  <c r="L93" i="1"/>
  <c r="L117" i="1"/>
  <c r="L105" i="1"/>
  <c r="M93" i="1"/>
  <c r="N93" i="1"/>
  <c r="O93" i="1"/>
  <c r="P93" i="1"/>
  <c r="Q93" i="1"/>
  <c r="R93" i="1"/>
  <c r="S93" i="1"/>
  <c r="D93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S104" i="1"/>
  <c r="S117" i="1"/>
  <c r="S105" i="1"/>
  <c r="R117" i="1"/>
  <c r="Q117" i="1"/>
  <c r="P117" i="1"/>
  <c r="O117" i="1"/>
  <c r="N117" i="1"/>
  <c r="M117" i="1"/>
  <c r="M105" i="1"/>
  <c r="K117" i="1"/>
  <c r="J117" i="1"/>
  <c r="I117" i="1"/>
  <c r="H117" i="1"/>
  <c r="G117" i="1"/>
  <c r="F117" i="1"/>
  <c r="E117" i="1"/>
  <c r="E105" i="1"/>
  <c r="D117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P105" i="1"/>
  <c r="O105" i="1"/>
  <c r="N105" i="1"/>
  <c r="H105" i="1"/>
  <c r="G105" i="1"/>
  <c r="F105" i="1"/>
  <c r="D105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S49" i="1"/>
  <c r="S59" i="1"/>
  <c r="R49" i="1"/>
  <c r="R59" i="1"/>
  <c r="Q49" i="1"/>
  <c r="Q59" i="1"/>
  <c r="P49" i="1"/>
  <c r="P59" i="1"/>
  <c r="O49" i="1"/>
  <c r="O59" i="1"/>
  <c r="N49" i="1"/>
  <c r="N59" i="1"/>
  <c r="M49" i="1"/>
  <c r="M59" i="1"/>
  <c r="L49" i="1"/>
  <c r="L59" i="1"/>
  <c r="K49" i="1"/>
  <c r="K59" i="1"/>
  <c r="J49" i="1"/>
  <c r="J59" i="1"/>
  <c r="I49" i="1"/>
  <c r="I59" i="1"/>
  <c r="H49" i="1"/>
  <c r="H59" i="1"/>
  <c r="G49" i="1"/>
  <c r="G59" i="1"/>
  <c r="F49" i="1"/>
  <c r="F59" i="1"/>
  <c r="E49" i="1"/>
  <c r="E59" i="1"/>
  <c r="D49" i="1"/>
  <c r="D59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2" i="1"/>
  <c r="D23" i="1"/>
  <c r="D24" i="1"/>
  <c r="D21" i="1"/>
  <c r="K35" i="1"/>
  <c r="S35" i="1"/>
  <c r="E35" i="1"/>
  <c r="M35" i="1"/>
  <c r="N35" i="1"/>
  <c r="D35" i="1"/>
  <c r="I35" i="1"/>
  <c r="P35" i="1"/>
  <c r="Q35" i="1"/>
  <c r="R35" i="1"/>
  <c r="O35" i="1"/>
  <c r="J35" i="1"/>
  <c r="H35" i="1"/>
  <c r="G35" i="1"/>
  <c r="F35" i="1"/>
  <c r="E15" i="1"/>
  <c r="E25" i="1"/>
  <c r="F15" i="1"/>
  <c r="G15" i="1"/>
  <c r="G25" i="1"/>
  <c r="H15" i="1"/>
  <c r="H25" i="1"/>
  <c r="I15" i="1"/>
  <c r="J15" i="1"/>
  <c r="J25" i="1"/>
  <c r="K15" i="1"/>
  <c r="K25" i="1"/>
  <c r="L15" i="1"/>
  <c r="M15" i="1"/>
  <c r="M25" i="1"/>
  <c r="N15" i="1"/>
  <c r="N25" i="1"/>
  <c r="O15" i="1"/>
  <c r="O25" i="1"/>
  <c r="P15" i="1"/>
  <c r="P25" i="1"/>
  <c r="Q15" i="1"/>
  <c r="Q25" i="1"/>
  <c r="R15" i="1"/>
  <c r="R25" i="1"/>
  <c r="S15" i="1"/>
  <c r="D15" i="1"/>
  <c r="D25" i="1"/>
  <c r="K105" i="1"/>
  <c r="R105" i="1"/>
  <c r="J105" i="1"/>
  <c r="Q105" i="1"/>
  <c r="I105" i="1"/>
  <c r="I25" i="1"/>
  <c r="F25" i="1"/>
  <c r="L35" i="1"/>
  <c r="L25" i="1"/>
</calcChain>
</file>

<file path=xl/sharedStrings.xml><?xml version="1.0" encoding="utf-8"?>
<sst xmlns="http://schemas.openxmlformats.org/spreadsheetml/2006/main" count="765" uniqueCount="335">
  <si>
    <t>Europe</t>
  </si>
  <si>
    <t>North America</t>
  </si>
  <si>
    <t>Global</t>
  </si>
  <si>
    <t>Rest of world</t>
  </si>
  <si>
    <t>Asia Pacific</t>
  </si>
  <si>
    <t>Eikon Private Equity Database</t>
  </si>
  <si>
    <t>Global Biopharma VC investment (Total deal value, USD) - By Investor Region</t>
  </si>
  <si>
    <t>Global Biopharma VC investment (Average deal value, USD) - By Investor Region</t>
  </si>
  <si>
    <t>Global Biopharma VC investment (Deal count) - By Investor Region</t>
  </si>
  <si>
    <t>Global Biopharma VC investment (Total deal value, USD) - By Investee Region</t>
  </si>
  <si>
    <t>Global Biopharma VC investment (Average deal value, USD) - By Investee Region</t>
  </si>
  <si>
    <t>Global Biopharma VC investment (Deal count) - By Investee Region</t>
  </si>
  <si>
    <t>Avg</t>
  </si>
  <si>
    <t>Global Biopharma VC investment (Total deal value, USD) - By Investment Series</t>
  </si>
  <si>
    <t>Series A</t>
  </si>
  <si>
    <t>Series B</t>
  </si>
  <si>
    <t>Series C</t>
  </si>
  <si>
    <t>Series D</t>
  </si>
  <si>
    <t>Series E</t>
  </si>
  <si>
    <t>Further series</t>
  </si>
  <si>
    <t>Global Biopharma VC investment (Deal count) - By Investment Series</t>
  </si>
  <si>
    <t>Data by Investor Region</t>
  </si>
  <si>
    <t>Data by Investee Region</t>
  </si>
  <si>
    <t>Data by Investment Series</t>
  </si>
  <si>
    <t>Discovery + preclinical</t>
  </si>
  <si>
    <t>Preclinical</t>
  </si>
  <si>
    <t>Ph.I</t>
  </si>
  <si>
    <t>Ph.II</t>
  </si>
  <si>
    <t>Ph.III</t>
  </si>
  <si>
    <t>Total</t>
  </si>
  <si>
    <t>Capitalised cost</t>
  </si>
  <si>
    <t>Number of
active R&amp;D players</t>
  </si>
  <si>
    <t>Very large</t>
  </si>
  <si>
    <t>Large</t>
  </si>
  <si>
    <t>Medium</t>
  </si>
  <si>
    <t>Small</t>
  </si>
  <si>
    <t>Very small</t>
  </si>
  <si>
    <t>% of players; % of billons of USD</t>
  </si>
  <si>
    <t>Revenue of 
active R&amp;D players</t>
  </si>
  <si>
    <t>APAC</t>
  </si>
  <si>
    <t>ROW</t>
  </si>
  <si>
    <t>Industry</t>
  </si>
  <si>
    <t>Academic</t>
  </si>
  <si>
    <t>Active drug development programs by region by executer type (Excludes public research groups)</t>
  </si>
  <si>
    <t>Pre-clin</t>
  </si>
  <si>
    <t>Phase I</t>
  </si>
  <si>
    <t>Phase II</t>
  </si>
  <si>
    <t>Phase III</t>
  </si>
  <si>
    <t>Top 10</t>
  </si>
  <si>
    <t>Top 10-50</t>
  </si>
  <si>
    <t>Top 50-400</t>
  </si>
  <si>
    <t>Top 400-800</t>
  </si>
  <si>
    <t>Below 800</t>
  </si>
  <si>
    <t>% of thousands of projects*</t>
  </si>
  <si>
    <t>Active Industry-led projects by executer company size (revenue)</t>
  </si>
  <si>
    <t>% of thousands of projects</t>
  </si>
  <si>
    <t>% of thousands of drugs</t>
  </si>
  <si>
    <t>Pharma companies with currently active development programs by company size (revenue)</t>
  </si>
  <si>
    <t>Other</t>
  </si>
  <si>
    <t>APAC/AUS</t>
  </si>
  <si>
    <t>Active Industry-led projects by executer location</t>
  </si>
  <si>
    <t>Non-rare</t>
  </si>
  <si>
    <t>Rare</t>
  </si>
  <si>
    <t>Active Industry-led projects for rare and non-rare diseases by executer company size (revenue)</t>
  </si>
  <si>
    <t>Novel</t>
  </si>
  <si>
    <t>Established</t>
  </si>
  <si>
    <t>% of thousands of projects* (Excludes natural products, and other biologics)</t>
  </si>
  <si>
    <t>Active Industry-led projects for established and novel modalities by executer company size (revenue)</t>
  </si>
  <si>
    <t>Externally sourced</t>
  </si>
  <si>
    <t>In-house (originated)</t>
  </si>
  <si>
    <t>Active Industry-led projects by executer company size (revenue) and asset type (in-house, externally sourced)</t>
  </si>
  <si>
    <t>Label</t>
  </si>
  <si>
    <t>In-house</t>
  </si>
  <si>
    <t>Active Industry-led projects by executer company size (revenue) and asset type (in-house, external), novel vs. conventional modalities</t>
  </si>
  <si>
    <t>Percentage</t>
  </si>
  <si>
    <t>Development route archetype of 79 NMEs* launched by U.S. / European companies (2018-21)</t>
  </si>
  <si>
    <t>Big pharma in house</t>
  </si>
  <si>
    <t>Company M&amp;A</t>
  </si>
  <si>
    <t>Small / medium biopharma go-it-alone</t>
  </si>
  <si>
    <t>Asset in-licensing / acquisition</t>
  </si>
  <si>
    <t>Industry - academic collaboration</t>
  </si>
  <si>
    <t>Industry - PRG / Charity collaboration</t>
  </si>
  <si>
    <t>Industry – industry collaboration</t>
  </si>
  <si>
    <t>Top 15</t>
  </si>
  <si>
    <t>Non-top 15</t>
  </si>
  <si>
    <t>Billions of USD</t>
  </si>
  <si>
    <t>Global Private-sector R&amp;D spend EvaluatePharma (2005-20E)</t>
  </si>
  <si>
    <t>Rank</t>
  </si>
  <si>
    <t>Company</t>
  </si>
  <si>
    <t>R&amp;D Spend (Billions of USD, 2020)</t>
  </si>
  <si>
    <t>Share of private sector spend</t>
  </si>
  <si>
    <t>HQ country</t>
  </si>
  <si>
    <t xml:space="preserve"> Roche</t>
  </si>
  <si>
    <t>Switzerland</t>
  </si>
  <si>
    <t xml:space="preserve"> Merck &amp; Co</t>
  </si>
  <si>
    <t>US</t>
  </si>
  <si>
    <t xml:space="preserve"> Bristol-Myers Squibb</t>
  </si>
  <si>
    <t xml:space="preserve"> Johnson &amp; Johnson</t>
  </si>
  <si>
    <t xml:space="preserve"> Pfizer</t>
  </si>
  <si>
    <t xml:space="preserve"> Novartis</t>
  </si>
  <si>
    <t xml:space="preserve"> Sanofi</t>
  </si>
  <si>
    <t>France</t>
  </si>
  <si>
    <t xml:space="preserve"> Eli Lilly</t>
  </si>
  <si>
    <t xml:space="preserve"> AstraZeneca</t>
  </si>
  <si>
    <t>UK</t>
  </si>
  <si>
    <t xml:space="preserve"> AbbVie</t>
  </si>
  <si>
    <t xml:space="preserve"> GlaxoSmithKline</t>
  </si>
  <si>
    <t xml:space="preserve"> Gilead Sciences</t>
  </si>
  <si>
    <t xml:space="preserve"> Takeda</t>
  </si>
  <si>
    <t>Japan</t>
  </si>
  <si>
    <t xml:space="preserve"> Amgen</t>
  </si>
  <si>
    <t xml:space="preserve"> Bayer</t>
  </si>
  <si>
    <t>Germany</t>
  </si>
  <si>
    <t>Top 30 R&amp;D Spenders</t>
  </si>
  <si>
    <t xml:space="preserve"> Boehringer Ingelheim</t>
  </si>
  <si>
    <t xml:space="preserve"> Regeneron</t>
  </si>
  <si>
    <t xml:space="preserve"> Novo Nordisk</t>
  </si>
  <si>
    <t>Denmark</t>
  </si>
  <si>
    <t xml:space="preserve"> Biogen</t>
  </si>
  <si>
    <t xml:space="preserve"> Astellas Pharma</t>
  </si>
  <si>
    <t xml:space="preserve"> Daiichi Sankyo</t>
  </si>
  <si>
    <t xml:space="preserve"> Incyte</t>
  </si>
  <si>
    <t xml:space="preserve"> Otsuka Holdings</t>
  </si>
  <si>
    <t xml:space="preserve"> Merck KGaA</t>
  </si>
  <si>
    <t xml:space="preserve"> Vertex</t>
  </si>
  <si>
    <t xml:space="preserve"> UCB</t>
  </si>
  <si>
    <t>Belgium</t>
  </si>
  <si>
    <t xml:space="preserve"> Eisai</t>
  </si>
  <si>
    <t xml:space="preserve"> BeiGene</t>
  </si>
  <si>
    <t>China</t>
  </si>
  <si>
    <t xml:space="preserve"> Alexion</t>
  </si>
  <si>
    <t xml:space="preserve"> Chugai</t>
  </si>
  <si>
    <t>Global Private sector R&amp;D spend by Region (Company HQ) EvaluatePharma (2005-2020)</t>
  </si>
  <si>
    <t>Government Budget Allocations for R&amp;D (GBARD) OECD Countries only (2011-2019)</t>
  </si>
  <si>
    <t>Government agency</t>
  </si>
  <si>
    <t>Charity</t>
  </si>
  <si>
    <t>Biotech</t>
  </si>
  <si>
    <t>Pharma (non top 10)</t>
  </si>
  <si>
    <t>Top 10 pharma</t>
  </si>
  <si>
    <t>Others</t>
  </si>
  <si>
    <t>Equity</t>
  </si>
  <si>
    <t>Collaboration</t>
  </si>
  <si>
    <t>Licensing</t>
  </si>
  <si>
    <t>Funding Agreement/Grant</t>
  </si>
  <si>
    <t>Biopharma deals by instrument class by Partner company type (Cortellis Publicly disclosed deals, 2005-2021)</t>
  </si>
  <si>
    <t>Biopharma licensing and collaboration deals by partner type (Cortellis Publicly disclosed deals, 2005-2021)</t>
  </si>
  <si>
    <t>License</t>
  </si>
  <si>
    <t>Thousands of deals (2005-21)</t>
  </si>
  <si>
    <t>Pharma (non-top 10):</t>
  </si>
  <si>
    <t>Research funding/grants</t>
  </si>
  <si>
    <t>Biopharma deals by instrument class by partner type (Cortellis Publicly disclosed deals, 2005-2021) - excluding instrument type "others"</t>
  </si>
  <si>
    <t>Gov agency</t>
  </si>
  <si>
    <t>Pharma (non-top 10)</t>
  </si>
  <si>
    <t>Mean</t>
  </si>
  <si>
    <t>Median</t>
  </si>
  <si>
    <t>Pharma</t>
  </si>
  <si>
    <t>Top 10 Pharma</t>
  </si>
  <si>
    <t>All</t>
  </si>
  <si>
    <t>Deal value for Funding Agreements/Grants by partner type (Cortellis Deals, 2005-2021)</t>
  </si>
  <si>
    <t>c.5,900</t>
  </si>
  <si>
    <t>c.3,200</t>
  </si>
  <si>
    <t>c.2,000</t>
  </si>
  <si>
    <t>c.2,500</t>
  </si>
  <si>
    <t>c.500</t>
  </si>
  <si>
    <t>c.14,100</t>
  </si>
  <si>
    <t>c.70%</t>
  </si>
  <si>
    <t>c.56%</t>
  </si>
  <si>
    <t>c.8%</t>
  </si>
  <si>
    <t>c.7%</t>
  </si>
  <si>
    <t>c.45%</t>
  </si>
  <si>
    <t>Total deals (2005-21)</t>
  </si>
  <si>
    <t>% with disclosed value</t>
  </si>
  <si>
    <t xml:space="preserve">Millions of US Dollars </t>
  </si>
  <si>
    <t>Deal value (upfront) for Licensing deals by partner type (Cortellis Deals, 2005-01/2021)</t>
  </si>
  <si>
    <t>Deal value (projected total) for Licensing deals by partner type (Cortellis Deals, 2005-01/2021)</t>
  </si>
  <si>
    <t>Deal value (projected total) for Equity deals by partner type (Cortellis Deals, 2005-01/2021)</t>
  </si>
  <si>
    <t>Deal value (projected total) for Collaborations deals by partner type (Cortellis Deals, 2005-01/2021)</t>
  </si>
  <si>
    <t>c.3,400</t>
  </si>
  <si>
    <t>c.5,800</t>
  </si>
  <si>
    <t>c.600</t>
  </si>
  <si>
    <t>c.10,000</t>
  </si>
  <si>
    <t>c.24%</t>
  </si>
  <si>
    <t>c.34%</t>
  </si>
  <si>
    <t>c.41%</t>
  </si>
  <si>
    <t>c.30%</t>
  </si>
  <si>
    <t>c.16%</t>
  </si>
  <si>
    <t>c.25%</t>
  </si>
  <si>
    <t>c.22%</t>
  </si>
  <si>
    <t>c.150</t>
  </si>
  <si>
    <t>c.330</t>
  </si>
  <si>
    <t>c.2,600</t>
  </si>
  <si>
    <t>c.4,400</t>
  </si>
  <si>
    <t>c.1,100</t>
  </si>
  <si>
    <t>c.8,500</t>
  </si>
  <si>
    <t>c.20</t>
  </si>
  <si>
    <t>c.1,700</t>
  </si>
  <si>
    <t>c.270</t>
  </si>
  <si>
    <t>c.4,100</t>
  </si>
  <si>
    <t>c.62%</t>
  </si>
  <si>
    <t>c.64%</t>
  </si>
  <si>
    <t>c.76%</t>
  </si>
  <si>
    <t>c.57%</t>
  </si>
  <si>
    <t>Discovery/Preclinical</t>
  </si>
  <si>
    <t>Phase 1 Clinical</t>
  </si>
  <si>
    <t>Phase 2 Clinical</t>
  </si>
  <si>
    <t>Phase 3 Clinical</t>
  </si>
  <si>
    <t>Millions of US Dollars</t>
  </si>
  <si>
    <t xml:space="preserve">Biopharma deals by instrument class by development stage (Cortellis Deals, 2005-2021) </t>
  </si>
  <si>
    <t>Value</t>
  </si>
  <si>
    <t>Instrument class</t>
  </si>
  <si>
    <t>Funding Ag./Grants (Projected total)</t>
  </si>
  <si>
    <t>Licensing (Upfront)</t>
  </si>
  <si>
    <t>Collaboration (Upfront)</t>
  </si>
  <si>
    <t>Equity (Projected total)</t>
  </si>
  <si>
    <t>% of spend (2005-21)</t>
  </si>
  <si>
    <t xml:space="preserve">Bolded trials represent selected sources </t>
  </si>
  <si>
    <t>Target-to-hit</t>
  </si>
  <si>
    <t>Hit-to-lead</t>
  </si>
  <si>
    <t>Lead optimisation</t>
  </si>
  <si>
    <t>NDA / BLA</t>
  </si>
  <si>
    <t>Adam (2010)</t>
  </si>
  <si>
    <t>Costs per drug</t>
  </si>
  <si>
    <t>DHHS (2014)</t>
  </si>
  <si>
    <t>Costs for single trial</t>
  </si>
  <si>
    <t>DiMasi (2003)</t>
  </si>
  <si>
    <t>DiMasi (2007)</t>
  </si>
  <si>
    <t>DiMasi (2016)</t>
  </si>
  <si>
    <t>DiMasi (2016) - small molecule</t>
  </si>
  <si>
    <t>DiMasi (2016) - large molecule</t>
  </si>
  <si>
    <t>Jayasundara (2019)</t>
  </si>
  <si>
    <t>Jayasundara (2019) - non-orphan</t>
  </si>
  <si>
    <t>Jayasundara (2019) - orphan</t>
  </si>
  <si>
    <t>Martin (2017)</t>
  </si>
  <si>
    <t>Paul (2010)</t>
  </si>
  <si>
    <t>Abrantes Metz (2004)</t>
  </si>
  <si>
    <t>Abrantes Metz (2004) - biologics</t>
  </si>
  <si>
    <t>Abrantes Metz (2004) - small molecules</t>
  </si>
  <si>
    <t>Abrantes Metz (2004) - natural products</t>
  </si>
  <si>
    <t>Adams (2006)</t>
  </si>
  <si>
    <t>Wong (2019)</t>
  </si>
  <si>
    <t>PoS per phase analysis</t>
  </si>
  <si>
    <t>Target-to-hit - hit-to-lead</t>
  </si>
  <si>
    <t>Hit-to-lead - lead opt.</t>
  </si>
  <si>
    <t>Lead opt. - Preclinical</t>
  </si>
  <si>
    <t>Preclinical - Phase I</t>
  </si>
  <si>
    <t>Phase I-II</t>
  </si>
  <si>
    <t>Phase II-III</t>
  </si>
  <si>
    <t>Phase III-NDA/BLA</t>
  </si>
  <si>
    <t>NDA/BLA approval</t>
  </si>
  <si>
    <t>BiomedTracker (2016) - overall</t>
  </si>
  <si>
    <t>BiomedTracker (2016) - NME</t>
  </si>
  <si>
    <t>BiomedTracker (2016) - biologic</t>
  </si>
  <si>
    <t>BiomedTracker (2016) - non-NME</t>
  </si>
  <si>
    <t>BiomedTracker (2016) - vaccine</t>
  </si>
  <si>
    <t>Hay (2014) - all indications</t>
  </si>
  <si>
    <t>Hay (2014) - orphan</t>
  </si>
  <si>
    <t>Estimates of cost per launch</t>
  </si>
  <si>
    <t>Out of pocket</t>
  </si>
  <si>
    <t>Gupta Strategists (2019)</t>
  </si>
  <si>
    <t>Wouters (2020)</t>
  </si>
  <si>
    <t>Inflation rates</t>
  </si>
  <si>
    <t>2005 USD:2020 USD</t>
  </si>
  <si>
    <t>2008 USD:2020 USD</t>
  </si>
  <si>
    <t>2013 USD:2020 USD</t>
  </si>
  <si>
    <t>2017 USD:2020 USD</t>
  </si>
  <si>
    <t>2018 USD:2020 USD</t>
  </si>
  <si>
    <t>Target to hit</t>
  </si>
  <si>
    <t>Hit to lead</t>
  </si>
  <si>
    <t>Lead opt.</t>
  </si>
  <si>
    <t xml:space="preserve">Pre-clinical </t>
  </si>
  <si>
    <t>NDA</t>
  </si>
  <si>
    <t>-</t>
  </si>
  <si>
    <t>Selected midpoint</t>
  </si>
  <si>
    <t>Illustrative range</t>
  </si>
  <si>
    <t>20-40</t>
  </si>
  <si>
    <t>40-60</t>
  </si>
  <si>
    <t>150-210</t>
  </si>
  <si>
    <t>Inflated 2021, mid-point</t>
  </si>
  <si>
    <t>Lead opt</t>
  </si>
  <si>
    <t>Phase PoS</t>
  </si>
  <si>
    <t>%</t>
  </si>
  <si>
    <t>Cumulative PoS to launch</t>
  </si>
  <si>
    <t>Number of WIP needed for launch</t>
  </si>
  <si>
    <t>#</t>
  </si>
  <si>
    <t>Cost per WIP (DiMasi 2007)</t>
  </si>
  <si>
    <t>uninflated</t>
  </si>
  <si>
    <t>Millions of USD</t>
  </si>
  <si>
    <t>Cost per WIP (Paul 2010)</t>
  </si>
  <si>
    <t>Cost per WIP (DiMasi 2016)</t>
  </si>
  <si>
    <t>Inflated to 2021</t>
  </si>
  <si>
    <t>Upper limit</t>
  </si>
  <si>
    <t>Lower limit</t>
  </si>
  <si>
    <t>Total cost per approved drug (average)</t>
  </si>
  <si>
    <t>Total cost per approved drug (high)</t>
  </si>
  <si>
    <t>inflated to 2021</t>
  </si>
  <si>
    <t>Total cost per approved drug (low)</t>
  </si>
  <si>
    <t>Time</t>
  </si>
  <si>
    <t>Years</t>
  </si>
  <si>
    <t>Cost of capital</t>
  </si>
  <si>
    <t>Capitalised total</t>
  </si>
  <si>
    <t>Inflated 2021, High cost</t>
  </si>
  <si>
    <t>Capitalised total, Inflated costs, high estimate</t>
  </si>
  <si>
    <t>Inflated 2021, Low cost</t>
  </si>
  <si>
    <t>Capitalised total, inflated costs, low estimate</t>
  </si>
  <si>
    <t>Deal value - Aggregated data</t>
  </si>
  <si>
    <t>Global Biopharma VC investment (Average deal value, USD) - By Investment Series (when a deal represents an individual investor investment not the aggregate series round for a company)</t>
  </si>
  <si>
    <t>Global Biopharma VC investment (Average series value 2015-20, USD) - By Investment Series (when a deal represents the whole series amount for all investors)</t>
  </si>
  <si>
    <t>c.1,000</t>
  </si>
  <si>
    <t>c.280</t>
  </si>
  <si>
    <t>c.90</t>
  </si>
  <si>
    <t>c.40</t>
  </si>
  <si>
    <t>c.90%</t>
  </si>
  <si>
    <t>c.93%</t>
  </si>
  <si>
    <t>c.95%</t>
  </si>
  <si>
    <t>c.100%</t>
  </si>
  <si>
    <t>c.92%</t>
  </si>
  <si>
    <t>Total series (2015-20)</t>
  </si>
  <si>
    <t>Distribution of investee regions split by each investor region (% of VC investment value)</t>
  </si>
  <si>
    <t>Uninflated cost per phase analysis - millions of USD</t>
  </si>
  <si>
    <t>Duration per phase analysis - months</t>
  </si>
  <si>
    <t>Uninflated - millions of USD</t>
  </si>
  <si>
    <t>Inflated to 2020 USD - millions of USD</t>
  </si>
  <si>
    <t>Cost of clinical development - inflated to 2020 USD - millions of USD</t>
  </si>
  <si>
    <t>Out of pocket costs - millions of USD</t>
  </si>
  <si>
    <t>Estimate for charity R&amp;D spend by geography OECD Countries only (2011-2019) - indicative only</t>
  </si>
  <si>
    <t>Deals (2005-21)</t>
  </si>
  <si>
    <t>Estimated % of spend by instrument class by development stage (Cortellis Publicly disclosed deals, 2005-2021) - indicative only</t>
  </si>
  <si>
    <t>Number of deals</t>
  </si>
  <si>
    <t>Number of deals (2005-21)</t>
  </si>
  <si>
    <t>Number of deals by instrument class by development stage (Cortellis Publicly disclosed deals, 2005-2021)</t>
  </si>
  <si>
    <t>Instruments analysis</t>
  </si>
  <si>
    <t xml:space="preserve">R&amp;D mapping </t>
  </si>
  <si>
    <t>R&amp;D Execution</t>
  </si>
  <si>
    <t>R&amp;D Funding</t>
  </si>
  <si>
    <t>VC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</si>
</sst>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.0%;\(#,##0.0%\);\-"/>
    <numFmt numFmtId="167" formatCode="#,##0.0;\(#,##0.0\);\-"/>
    <numFmt numFmtId="168" formatCode="#,##0;\(#,##0\);\-"/>
    <numFmt numFmtId="169" formatCode="#,##0.00;\(#,##0.00\);\-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3" fillId="0" borderId="0"/>
    <xf numFmtId="0" fontId="1" fillId="0" borderId="0"/>
  </cellStyleXfs>
  <cellXfs count="183">
    <xf numFmtId="0" fontId="0" fillId="0" borderId="0" xfId="0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0" fillId="0" borderId="4" xfId="0" applyBorder="1" applyAlignment="1">
      <alignment wrapText="1"/>
    </xf>
    <xf numFmtId="9" fontId="0" fillId="0" borderId="0" xfId="0" applyNumberFormat="1"/>
    <xf numFmtId="3" fontId="0" fillId="0" borderId="0" xfId="0" applyNumberFormat="1" applyBorder="1"/>
    <xf numFmtId="0" fontId="0" fillId="0" borderId="6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0" fillId="0" borderId="4" xfId="0" applyFont="1" applyBorder="1"/>
    <xf numFmtId="0" fontId="2" fillId="0" borderId="0" xfId="0" applyFont="1"/>
    <xf numFmtId="0" fontId="2" fillId="0" borderId="7" xfId="0" applyFont="1" applyBorder="1"/>
    <xf numFmtId="0" fontId="2" fillId="4" borderId="11" xfId="0" applyFont="1" applyFill="1" applyBorder="1"/>
    <xf numFmtId="0" fontId="0" fillId="4" borderId="12" xfId="0" applyFill="1" applyBorder="1"/>
    <xf numFmtId="0" fontId="0" fillId="4" borderId="10" xfId="0" applyFill="1" applyBorder="1"/>
    <xf numFmtId="0" fontId="0" fillId="5" borderId="0" xfId="0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0" xfId="0" applyFill="1" applyAlignment="1">
      <alignment horizontal="right"/>
    </xf>
    <xf numFmtId="168" fontId="0" fillId="5" borderId="4" xfId="0" applyNumberFormat="1" applyFill="1" applyBorder="1" applyAlignment="1">
      <alignment horizontal="left"/>
    </xf>
    <xf numFmtId="168" fontId="0" fillId="5" borderId="0" xfId="0" applyNumberFormat="1" applyFill="1" applyAlignment="1">
      <alignment horizontal="left"/>
    </xf>
    <xf numFmtId="168" fontId="0" fillId="5" borderId="0" xfId="0" applyNumberFormat="1" applyFill="1" applyAlignment="1">
      <alignment horizontal="center"/>
    </xf>
    <xf numFmtId="168" fontId="8" fillId="5" borderId="0" xfId="0" applyNumberFormat="1" applyFont="1" applyFill="1" applyAlignment="1">
      <alignment horizontal="center"/>
    </xf>
    <xf numFmtId="168" fontId="0" fillId="5" borderId="5" xfId="0" applyNumberFormat="1" applyFill="1" applyBorder="1" applyAlignment="1">
      <alignment horizontal="center"/>
    </xf>
    <xf numFmtId="168" fontId="9" fillId="5" borderId="4" xfId="0" applyNumberFormat="1" applyFont="1" applyFill="1" applyBorder="1" applyAlignment="1">
      <alignment horizontal="left"/>
    </xf>
    <xf numFmtId="168" fontId="9" fillId="5" borderId="0" xfId="0" applyNumberFormat="1" applyFont="1" applyFill="1" applyAlignment="1">
      <alignment horizontal="center"/>
    </xf>
    <xf numFmtId="9" fontId="3" fillId="5" borderId="0" xfId="0" applyNumberFormat="1" applyFont="1" applyFill="1" applyAlignment="1">
      <alignment horizontal="center" vertical="center"/>
    </xf>
    <xf numFmtId="9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8" fontId="3" fillId="5" borderId="0" xfId="0" applyNumberFormat="1" applyFont="1" applyFill="1" applyAlignment="1">
      <alignment horizontal="center"/>
    </xf>
    <xf numFmtId="168" fontId="9" fillId="5" borderId="6" xfId="0" applyNumberFormat="1" applyFont="1" applyFill="1" applyBorder="1" applyAlignment="1">
      <alignment horizontal="left"/>
    </xf>
    <xf numFmtId="168" fontId="0" fillId="5" borderId="7" xfId="0" applyNumberFormat="1" applyFill="1" applyBorder="1" applyAlignment="1">
      <alignment horizontal="left"/>
    </xf>
    <xf numFmtId="168" fontId="9" fillId="5" borderId="7" xfId="0" applyNumberFormat="1" applyFont="1" applyFill="1" applyBorder="1" applyAlignment="1">
      <alignment horizontal="center"/>
    </xf>
    <xf numFmtId="168" fontId="0" fillId="5" borderId="7" xfId="0" applyNumberFormat="1" applyFill="1" applyBorder="1" applyAlignment="1">
      <alignment horizontal="center"/>
    </xf>
    <xf numFmtId="168" fontId="0" fillId="5" borderId="8" xfId="0" applyNumberFormat="1" applyFill="1" applyBorder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6" fontId="3" fillId="5" borderId="9" xfId="0" applyNumberFormat="1" applyFont="1" applyFill="1" applyBorder="1" applyAlignment="1">
      <alignment horizontal="center"/>
    </xf>
    <xf numFmtId="168" fontId="8" fillId="5" borderId="0" xfId="0" applyNumberFormat="1" applyFon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8" fontId="9" fillId="5" borderId="5" xfId="0" applyNumberFormat="1" applyFont="1" applyFill="1" applyBorder="1" applyAlignment="1">
      <alignment horizontal="center" vertical="center"/>
    </xf>
    <xf numFmtId="168" fontId="9" fillId="5" borderId="0" xfId="0" applyNumberFormat="1" applyFont="1" applyFill="1" applyAlignment="1">
      <alignment horizontal="center" vertical="center"/>
    </xf>
    <xf numFmtId="166" fontId="9" fillId="5" borderId="0" xfId="0" applyNumberFormat="1" applyFont="1" applyFill="1" applyAlignment="1">
      <alignment horizontal="left"/>
    </xf>
    <xf numFmtId="168" fontId="8" fillId="5" borderId="1" xfId="0" applyNumberFormat="1" applyFont="1" applyFill="1" applyBorder="1" applyAlignment="1">
      <alignment horizontal="left"/>
    </xf>
    <xf numFmtId="168" fontId="8" fillId="5" borderId="2" xfId="0" applyNumberFormat="1" applyFont="1" applyFill="1" applyBorder="1" applyAlignment="1">
      <alignment horizontal="left"/>
    </xf>
    <xf numFmtId="168" fontId="8" fillId="5" borderId="2" xfId="0" applyNumberFormat="1" applyFont="1" applyFill="1" applyBorder="1" applyAlignment="1">
      <alignment horizontal="center" vertical="center"/>
    </xf>
    <xf numFmtId="168" fontId="8" fillId="5" borderId="3" xfId="0" applyNumberFormat="1" applyFont="1" applyFill="1" applyBorder="1" applyAlignment="1">
      <alignment horizontal="center" vertical="center"/>
    </xf>
    <xf numFmtId="169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8" fontId="8" fillId="5" borderId="10" xfId="0" applyNumberFormat="1" applyFont="1" applyFill="1" applyBorder="1" applyAlignment="1">
      <alignment horizontal="center" vertical="center"/>
    </xf>
    <xf numFmtId="0" fontId="5" fillId="6" borderId="11" xfId="0" applyFont="1" applyFill="1" applyBorder="1"/>
    <xf numFmtId="0" fontId="2" fillId="6" borderId="12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0" fillId="6" borderId="12" xfId="0" applyFill="1" applyBorder="1"/>
    <xf numFmtId="0" fontId="0" fillId="6" borderId="10" xfId="0" applyFill="1" applyBorder="1"/>
    <xf numFmtId="0" fontId="0" fillId="6" borderId="11" xfId="0" applyFill="1" applyBorder="1"/>
    <xf numFmtId="0" fontId="2" fillId="7" borderId="12" xfId="0" applyFont="1" applyFill="1" applyBorder="1"/>
    <xf numFmtId="0" fontId="0" fillId="7" borderId="12" xfId="0" applyFill="1" applyBorder="1"/>
    <xf numFmtId="0" fontId="0" fillId="7" borderId="10" xfId="0" applyFill="1" applyBorder="1"/>
    <xf numFmtId="0" fontId="2" fillId="7" borderId="11" xfId="0" applyFont="1" applyFill="1" applyBorder="1"/>
    <xf numFmtId="0" fontId="2" fillId="7" borderId="10" xfId="0" applyFont="1" applyFill="1" applyBorder="1"/>
    <xf numFmtId="0" fontId="2" fillId="7" borderId="1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Fill="1" applyBorder="1"/>
    <xf numFmtId="0" fontId="4" fillId="0" borderId="0" xfId="0" applyFont="1" applyFill="1" applyBorder="1"/>
    <xf numFmtId="0" fontId="4" fillId="0" borderId="5" xfId="0" applyFont="1" applyFill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Fill="1"/>
    <xf numFmtId="0" fontId="5" fillId="3" borderId="11" xfId="0" applyFont="1" applyFill="1" applyBorder="1"/>
    <xf numFmtId="0" fontId="2" fillId="3" borderId="12" xfId="0" applyFont="1" applyFill="1" applyBorder="1"/>
    <xf numFmtId="0" fontId="0" fillId="3" borderId="12" xfId="0" applyFill="1" applyBorder="1"/>
    <xf numFmtId="0" fontId="0" fillId="3" borderId="10" xfId="0" applyFill="1" applyBorder="1"/>
    <xf numFmtId="0" fontId="5" fillId="8" borderId="11" xfId="0" applyFont="1" applyFill="1" applyBorder="1"/>
    <xf numFmtId="0" fontId="2" fillId="8" borderId="12" xfId="0" applyFont="1" applyFill="1" applyBorder="1"/>
    <xf numFmtId="0" fontId="0" fillId="8" borderId="12" xfId="0" applyFill="1" applyBorder="1"/>
    <xf numFmtId="0" fontId="0" fillId="8" borderId="10" xfId="0" applyFill="1" applyBorder="1"/>
    <xf numFmtId="0" fontId="0" fillId="9" borderId="12" xfId="0" applyFill="1" applyBorder="1"/>
    <xf numFmtId="0" fontId="5" fillId="10" borderId="11" xfId="0" applyFont="1" applyFill="1" applyBorder="1"/>
    <xf numFmtId="0" fontId="2" fillId="10" borderId="12" xfId="0" applyFont="1" applyFill="1" applyBorder="1"/>
    <xf numFmtId="0" fontId="0" fillId="10" borderId="12" xfId="0" applyFill="1" applyBorder="1"/>
    <xf numFmtId="0" fontId="0" fillId="10" borderId="10" xfId="0" applyFill="1" applyBorder="1"/>
    <xf numFmtId="0" fontId="4" fillId="2" borderId="12" xfId="0" applyFont="1" applyFill="1" applyBorder="1"/>
    <xf numFmtId="0" fontId="4" fillId="2" borderId="10" xfId="0" applyFont="1" applyFill="1" applyBorder="1"/>
    <xf numFmtId="0" fontId="4" fillId="4" borderId="12" xfId="0" applyFont="1" applyFill="1" applyBorder="1"/>
    <xf numFmtId="0" fontId="0" fillId="11" borderId="12" xfId="0" applyFill="1" applyBorder="1"/>
    <xf numFmtId="0" fontId="0" fillId="11" borderId="10" xfId="0" applyFill="1" applyBorder="1"/>
    <xf numFmtId="0" fontId="0" fillId="9" borderId="10" xfId="0" applyFill="1" applyBorder="1"/>
    <xf numFmtId="0" fontId="11" fillId="2" borderId="11" xfId="0" applyFont="1" applyFill="1" applyBorder="1"/>
    <xf numFmtId="0" fontId="2" fillId="11" borderId="11" xfId="0" applyFont="1" applyFill="1" applyBorder="1"/>
    <xf numFmtId="0" fontId="2" fillId="9" borderId="11" xfId="0" applyFont="1" applyFill="1" applyBorder="1"/>
    <xf numFmtId="0" fontId="12" fillId="12" borderId="11" xfId="0" applyFont="1" applyFill="1" applyBorder="1"/>
    <xf numFmtId="0" fontId="7" fillId="12" borderId="12" xfId="0" applyFont="1" applyFill="1" applyBorder="1"/>
    <xf numFmtId="0" fontId="6" fillId="12" borderId="12" xfId="0" applyFont="1" applyFill="1" applyBorder="1"/>
    <xf numFmtId="0" fontId="7" fillId="12" borderId="10" xfId="0" applyFont="1" applyFill="1" applyBorder="1"/>
    <xf numFmtId="0" fontId="0" fillId="0" borderId="0" xfId="0" applyFill="1" applyBorder="1"/>
    <xf numFmtId="0" fontId="13" fillId="0" borderId="4" xfId="2" applyBorder="1" applyAlignment="1" applyProtection="1">
      <alignment horizontal="left"/>
    </xf>
    <xf numFmtId="165" fontId="4" fillId="0" borderId="0" xfId="1" applyNumberFormat="1" applyFont="1" applyBorder="1" applyAlignment="1">
      <alignment horizontal="right"/>
    </xf>
    <xf numFmtId="165" fontId="4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8" fontId="0" fillId="5" borderId="0" xfId="0" applyNumberFormat="1" applyFont="1" applyFill="1" applyAlignment="1">
      <alignment horizontal="center"/>
    </xf>
    <xf numFmtId="168" fontId="0" fillId="5" borderId="5" xfId="0" applyNumberFormat="1" applyFont="1" applyFill="1" applyBorder="1" applyAlignment="1">
      <alignment horizontal="center"/>
    </xf>
    <xf numFmtId="168" fontId="0" fillId="5" borderId="7" xfId="0" applyNumberFormat="1" applyFont="1" applyFill="1" applyBorder="1" applyAlignment="1">
      <alignment horizontal="center"/>
    </xf>
    <xf numFmtId="168" fontId="0" fillId="5" borderId="8" xfId="0" applyNumberFormat="1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168" fontId="0" fillId="0" borderId="0" xfId="0" applyNumberFormat="1" applyFont="1" applyBorder="1" applyAlignment="1">
      <alignment horizontal="center"/>
    </xf>
    <xf numFmtId="168" fontId="0" fillId="0" borderId="5" xfId="0" applyNumberFormat="1" applyFont="1" applyBorder="1" applyAlignment="1">
      <alignment horizontal="center"/>
    </xf>
    <xf numFmtId="168" fontId="0" fillId="0" borderId="7" xfId="0" applyNumberFormat="1" applyFont="1" applyBorder="1" applyAlignment="1">
      <alignment horizontal="center"/>
    </xf>
    <xf numFmtId="168" fontId="0" fillId="0" borderId="8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4" fillId="0" borderId="5" xfId="0" applyFont="1" applyBorder="1" applyAlignment="1">
      <alignment horizontal="right"/>
    </xf>
    <xf numFmtId="165" fontId="4" fillId="0" borderId="5" xfId="1" applyNumberFormat="1" applyFont="1" applyBorder="1" applyAlignment="1">
      <alignment horizontal="right"/>
    </xf>
    <xf numFmtId="165" fontId="4" fillId="0" borderId="8" xfId="1" applyNumberFormat="1" applyFont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4" borderId="12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3" fillId="0" borderId="0" xfId="2" applyAlignment="1" applyProtection="1">
      <alignment horizontal="right" vertical="top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166" fontId="0" fillId="0" borderId="0" xfId="0" applyNumberFormat="1" applyFont="1" applyBorder="1" applyAlignment="1">
      <alignment horizontal="center"/>
    </xf>
    <xf numFmtId="166" fontId="0" fillId="0" borderId="5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3" fontId="0" fillId="0" borderId="7" xfId="0" applyNumberFormat="1" applyBorder="1"/>
  </cellXfs>
  <cellStyles count="4">
    <cellStyle name="Comma" xfId="1" builtinId="3"/>
    <cellStyle name="Normal" xfId="0" builtinId="0"/>
    <cellStyle name="Normal 2" xfId="2" xr:uid="{122FA8A3-185D-42EF-B870-7D170E5BA95C}"/>
    <cellStyle name="Normal 3" xfId="3" xr:uid="{C527E3ED-ABF0-4C36-953A-3C5517E13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0B12-E447-4A5C-9D53-40D353196A2D}">
  <sheetPr>
    <tabColor theme="0" tint="-0.249977111117893"/>
  </sheetPr>
  <dimension ref="A2:Y163"/>
  <sheetViews>
    <sheetView showGridLines="0" tabSelected="1" zoomScale="85" zoomScaleNormal="85" workbookViewId="0">
      <selection activeCell="B3" sqref="B3"/>
    </sheetView>
  </sheetViews>
  <sheetFormatPr defaultRowHeight="12.75" x14ac:dyDescent="0.35"/>
  <cols>
    <col min="1" max="1" width="2.3984375" customWidth="1"/>
    <col min="2" max="2" width="2.86328125" customWidth="1"/>
    <col min="3" max="3" width="1.86328125" customWidth="1"/>
    <col min="4" max="4" width="28.59765625" customWidth="1"/>
    <col min="5" max="5" width="18" customWidth="1"/>
    <col min="6" max="6" width="15.1328125" bestFit="1" customWidth="1"/>
    <col min="7" max="7" width="17.1328125" bestFit="1" customWidth="1"/>
    <col min="8" max="13" width="8.86328125" bestFit="1" customWidth="1"/>
    <col min="14" max="14" width="9.1328125" customWidth="1"/>
    <col min="15" max="21" width="8.86328125" bestFit="1" customWidth="1"/>
    <col min="23" max="23" width="9.3984375" bestFit="1" customWidth="1"/>
  </cols>
  <sheetData>
    <row r="2" spans="2:14" ht="16.899999999999999" x14ac:dyDescent="0.5">
      <c r="B2" s="65" t="s">
        <v>331</v>
      </c>
      <c r="C2" s="69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4" spans="2:14" ht="13.15" x14ac:dyDescent="0.4">
      <c r="C4" s="68" t="s">
        <v>318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2:14" x14ac:dyDescent="0.35">
      <c r="C5" s="22" t="s">
        <v>215</v>
      </c>
      <c r="N5" s="6"/>
    </row>
    <row r="6" spans="2:14" x14ac:dyDescent="0.35">
      <c r="C6" s="4"/>
      <c r="F6" s="123" t="s">
        <v>216</v>
      </c>
      <c r="G6" s="123" t="s">
        <v>217</v>
      </c>
      <c r="H6" s="123" t="s">
        <v>218</v>
      </c>
      <c r="I6" s="123" t="s">
        <v>25</v>
      </c>
      <c r="J6" s="123" t="s">
        <v>24</v>
      </c>
      <c r="K6" s="123" t="s">
        <v>45</v>
      </c>
      <c r="L6" s="123" t="s">
        <v>46</v>
      </c>
      <c r="M6" s="123" t="s">
        <v>47</v>
      </c>
      <c r="N6" s="17" t="s">
        <v>219</v>
      </c>
    </row>
    <row r="7" spans="2:14" x14ac:dyDescent="0.35">
      <c r="C7" s="4"/>
      <c r="D7" t="s">
        <v>220</v>
      </c>
      <c r="E7" t="s">
        <v>221</v>
      </c>
      <c r="F7" s="123"/>
      <c r="G7" s="123"/>
      <c r="H7" s="123"/>
      <c r="I7" s="123"/>
      <c r="J7" s="123"/>
      <c r="K7" s="123">
        <v>24</v>
      </c>
      <c r="L7" s="123">
        <v>86</v>
      </c>
      <c r="M7" s="123">
        <v>61</v>
      </c>
      <c r="N7" s="17"/>
    </row>
    <row r="8" spans="2:14" x14ac:dyDescent="0.35">
      <c r="C8" s="4"/>
      <c r="D8" t="s">
        <v>222</v>
      </c>
      <c r="E8" t="s">
        <v>223</v>
      </c>
      <c r="F8" s="123"/>
      <c r="G8" s="123"/>
      <c r="H8" s="123"/>
      <c r="I8" s="123"/>
      <c r="J8" s="123"/>
      <c r="K8" s="123">
        <v>14</v>
      </c>
      <c r="L8" s="123">
        <v>13</v>
      </c>
      <c r="M8" s="123">
        <v>20</v>
      </c>
      <c r="N8" s="17"/>
    </row>
    <row r="9" spans="2:14" x14ac:dyDescent="0.35">
      <c r="C9" s="4"/>
      <c r="D9" t="s">
        <v>224</v>
      </c>
      <c r="E9" t="s">
        <v>221</v>
      </c>
      <c r="F9" s="123"/>
      <c r="G9" s="123"/>
      <c r="H9" s="123"/>
      <c r="I9" s="123"/>
      <c r="J9" s="123"/>
      <c r="K9" s="123">
        <v>15</v>
      </c>
      <c r="L9" s="123">
        <v>24</v>
      </c>
      <c r="M9" s="123">
        <v>86</v>
      </c>
      <c r="N9" s="17"/>
    </row>
    <row r="10" spans="2:14" ht="13.15" x14ac:dyDescent="0.4">
      <c r="C10" s="4"/>
      <c r="D10" s="23" t="s">
        <v>225</v>
      </c>
      <c r="E10" s="23" t="s">
        <v>221</v>
      </c>
      <c r="F10" s="124"/>
      <c r="G10" s="124"/>
      <c r="H10" s="124"/>
      <c r="I10" s="124"/>
      <c r="J10" s="124">
        <v>60</v>
      </c>
      <c r="K10" s="124">
        <v>32</v>
      </c>
      <c r="L10" s="124">
        <v>38</v>
      </c>
      <c r="M10" s="124">
        <v>96</v>
      </c>
      <c r="N10" s="17"/>
    </row>
    <row r="11" spans="2:14" ht="13.15" x14ac:dyDescent="0.4">
      <c r="C11" s="4"/>
      <c r="D11" s="23" t="s">
        <v>226</v>
      </c>
      <c r="E11" s="23" t="s">
        <v>221</v>
      </c>
      <c r="F11" s="124"/>
      <c r="G11" s="124"/>
      <c r="H11" s="124"/>
      <c r="I11" s="124"/>
      <c r="J11" s="124"/>
      <c r="K11" s="124">
        <v>25</v>
      </c>
      <c r="L11" s="124">
        <v>59</v>
      </c>
      <c r="M11" s="124">
        <v>255</v>
      </c>
      <c r="N11" s="17"/>
    </row>
    <row r="12" spans="2:14" x14ac:dyDescent="0.35">
      <c r="C12" s="4"/>
      <c r="D12" t="s">
        <v>227</v>
      </c>
      <c r="E12" t="s">
        <v>221</v>
      </c>
      <c r="F12" s="123"/>
      <c r="G12" s="123"/>
      <c r="H12" s="123"/>
      <c r="I12" s="123"/>
      <c r="J12" s="123"/>
      <c r="K12" s="123">
        <v>26</v>
      </c>
      <c r="L12" s="123">
        <v>50</v>
      </c>
      <c r="M12" s="123">
        <v>246</v>
      </c>
      <c r="N12" s="17"/>
    </row>
    <row r="13" spans="2:14" x14ac:dyDescent="0.35">
      <c r="C13" s="4"/>
      <c r="D13" t="s">
        <v>228</v>
      </c>
      <c r="E13" t="s">
        <v>221</v>
      </c>
      <c r="F13" s="123"/>
      <c r="G13" s="123"/>
      <c r="H13" s="123"/>
      <c r="I13" s="123"/>
      <c r="J13" s="123"/>
      <c r="K13" s="123">
        <v>24</v>
      </c>
      <c r="L13" s="123">
        <v>92</v>
      </c>
      <c r="M13" s="123">
        <v>281</v>
      </c>
      <c r="N13" s="17"/>
    </row>
    <row r="14" spans="2:14" x14ac:dyDescent="0.35">
      <c r="C14" s="4"/>
      <c r="D14" t="s">
        <v>229</v>
      </c>
      <c r="E14" t="s">
        <v>221</v>
      </c>
      <c r="F14" s="123"/>
      <c r="G14" s="123"/>
      <c r="H14" s="123"/>
      <c r="I14" s="123"/>
      <c r="J14" s="123"/>
      <c r="K14" s="123">
        <v>3</v>
      </c>
      <c r="L14" s="123">
        <v>17</v>
      </c>
      <c r="M14" s="123">
        <v>76</v>
      </c>
      <c r="N14" s="17"/>
    </row>
    <row r="15" spans="2:14" x14ac:dyDescent="0.35">
      <c r="C15" s="4"/>
      <c r="D15" t="s">
        <v>230</v>
      </c>
      <c r="E15" t="s">
        <v>221</v>
      </c>
      <c r="F15" s="123"/>
      <c r="G15" s="123"/>
      <c r="H15" s="123"/>
      <c r="I15" s="123"/>
      <c r="J15" s="123"/>
      <c r="K15" s="123">
        <v>3</v>
      </c>
      <c r="L15" s="123">
        <v>10</v>
      </c>
      <c r="M15" s="123">
        <v>103</v>
      </c>
      <c r="N15" s="17"/>
    </row>
    <row r="16" spans="2:14" x14ac:dyDescent="0.35">
      <c r="C16" s="4"/>
      <c r="D16" t="s">
        <v>231</v>
      </c>
      <c r="E16" t="s">
        <v>221</v>
      </c>
      <c r="F16" s="123"/>
      <c r="G16" s="123"/>
      <c r="H16" s="123"/>
      <c r="I16" s="123"/>
      <c r="J16" s="123"/>
      <c r="K16" s="123">
        <v>4</v>
      </c>
      <c r="L16" s="123">
        <v>24</v>
      </c>
      <c r="M16" s="123">
        <v>50</v>
      </c>
      <c r="N16" s="17"/>
    </row>
    <row r="17" spans="3:14" x14ac:dyDescent="0.35">
      <c r="C17" s="4"/>
      <c r="D17" t="s">
        <v>232</v>
      </c>
      <c r="E17" t="s">
        <v>223</v>
      </c>
      <c r="F17" s="123"/>
      <c r="G17" s="123"/>
      <c r="H17" s="123"/>
      <c r="I17" s="123"/>
      <c r="J17" s="123"/>
      <c r="K17" s="123">
        <v>4</v>
      </c>
      <c r="L17" s="123">
        <v>13</v>
      </c>
      <c r="M17" s="123">
        <v>34</v>
      </c>
      <c r="N17" s="17"/>
    </row>
    <row r="18" spans="3:14" ht="13.15" x14ac:dyDescent="0.4">
      <c r="C18" s="7"/>
      <c r="D18" s="24" t="s">
        <v>233</v>
      </c>
      <c r="E18" s="24" t="s">
        <v>221</v>
      </c>
      <c r="F18" s="125">
        <v>1</v>
      </c>
      <c r="G18" s="126">
        <v>2.5</v>
      </c>
      <c r="H18" s="125">
        <v>10</v>
      </c>
      <c r="I18" s="125">
        <v>5</v>
      </c>
      <c r="J18" s="125"/>
      <c r="K18" s="125">
        <v>15</v>
      </c>
      <c r="L18" s="125">
        <v>40</v>
      </c>
      <c r="M18" s="125">
        <v>150</v>
      </c>
      <c r="N18" s="127">
        <v>40</v>
      </c>
    </row>
    <row r="20" spans="3:14" ht="13.15" x14ac:dyDescent="0.4">
      <c r="C20" s="68" t="s">
        <v>319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3:14" x14ac:dyDescent="0.35">
      <c r="C21" s="4"/>
      <c r="N21" s="6"/>
    </row>
    <row r="22" spans="3:14" x14ac:dyDescent="0.35">
      <c r="C22" s="4"/>
      <c r="F22" s="123" t="s">
        <v>216</v>
      </c>
      <c r="G22" s="123" t="s">
        <v>217</v>
      </c>
      <c r="H22" s="123" t="s">
        <v>218</v>
      </c>
      <c r="I22" s="123" t="s">
        <v>25</v>
      </c>
      <c r="J22" s="123" t="s">
        <v>24</v>
      </c>
      <c r="K22" s="123" t="s">
        <v>45</v>
      </c>
      <c r="L22" s="123" t="s">
        <v>46</v>
      </c>
      <c r="M22" s="123" t="s">
        <v>47</v>
      </c>
      <c r="N22" s="17" t="s">
        <v>219</v>
      </c>
    </row>
    <row r="23" spans="3:14" x14ac:dyDescent="0.35">
      <c r="C23" s="4"/>
      <c r="D23" t="s">
        <v>234</v>
      </c>
      <c r="F23" s="123"/>
      <c r="G23" s="123"/>
      <c r="H23" s="123"/>
      <c r="I23" s="123"/>
      <c r="J23" s="123"/>
      <c r="K23" s="123">
        <v>20</v>
      </c>
      <c r="L23" s="123">
        <v>30</v>
      </c>
      <c r="M23" s="123">
        <v>47</v>
      </c>
      <c r="N23" s="17"/>
    </row>
    <row r="24" spans="3:14" x14ac:dyDescent="0.35">
      <c r="C24" s="4"/>
      <c r="D24" t="s">
        <v>235</v>
      </c>
      <c r="F24" s="123"/>
      <c r="G24" s="123"/>
      <c r="H24" s="123"/>
      <c r="I24" s="123"/>
      <c r="J24" s="123"/>
      <c r="K24" s="123">
        <v>18</v>
      </c>
      <c r="L24" s="123">
        <v>32</v>
      </c>
      <c r="M24" s="123">
        <v>46</v>
      </c>
      <c r="N24" s="17"/>
    </row>
    <row r="25" spans="3:14" x14ac:dyDescent="0.35">
      <c r="C25" s="4"/>
      <c r="D25" t="s">
        <v>236</v>
      </c>
      <c r="F25" s="123"/>
      <c r="G25" s="123"/>
      <c r="H25" s="123"/>
      <c r="I25" s="123"/>
      <c r="J25" s="123"/>
      <c r="K25" s="123">
        <v>20</v>
      </c>
      <c r="L25" s="123">
        <v>29</v>
      </c>
      <c r="M25" s="123">
        <v>48</v>
      </c>
      <c r="N25" s="17"/>
    </row>
    <row r="26" spans="3:14" x14ac:dyDescent="0.35">
      <c r="C26" s="4"/>
      <c r="D26" t="s">
        <v>237</v>
      </c>
      <c r="F26" s="123"/>
      <c r="G26" s="123"/>
      <c r="H26" s="123"/>
      <c r="I26" s="123"/>
      <c r="J26" s="123"/>
      <c r="K26" s="123">
        <v>22</v>
      </c>
      <c r="L26" s="123">
        <v>19</v>
      </c>
      <c r="M26" s="123">
        <v>46</v>
      </c>
      <c r="N26" s="17"/>
    </row>
    <row r="27" spans="3:14" x14ac:dyDescent="0.35">
      <c r="C27" s="4"/>
      <c r="D27" t="s">
        <v>238</v>
      </c>
      <c r="F27" s="123"/>
      <c r="G27" s="123"/>
      <c r="H27" s="123"/>
      <c r="I27" s="123"/>
      <c r="J27" s="123"/>
      <c r="K27" s="123">
        <v>17</v>
      </c>
      <c r="L27" s="123">
        <v>31</v>
      </c>
      <c r="M27" s="123">
        <v>27</v>
      </c>
      <c r="N27" s="17"/>
    </row>
    <row r="28" spans="3:14" x14ac:dyDescent="0.35">
      <c r="C28" s="4"/>
      <c r="D28" t="s">
        <v>220</v>
      </c>
      <c r="F28" s="123"/>
      <c r="G28" s="123"/>
      <c r="H28" s="123"/>
      <c r="I28" s="123"/>
      <c r="J28" s="123"/>
      <c r="K28" s="123">
        <v>17</v>
      </c>
      <c r="L28" s="123">
        <v>31</v>
      </c>
      <c r="M28" s="123">
        <v>27</v>
      </c>
      <c r="N28" s="17"/>
    </row>
    <row r="29" spans="3:14" x14ac:dyDescent="0.35">
      <c r="C29" s="4"/>
      <c r="D29" t="s">
        <v>224</v>
      </c>
      <c r="F29" s="123"/>
      <c r="G29" s="123"/>
      <c r="H29" s="123"/>
      <c r="I29" s="123"/>
      <c r="J29" s="123"/>
      <c r="K29" s="123">
        <v>22</v>
      </c>
      <c r="L29" s="123">
        <v>26</v>
      </c>
      <c r="M29" s="123">
        <v>31</v>
      </c>
      <c r="N29" s="17"/>
    </row>
    <row r="30" spans="3:14" x14ac:dyDescent="0.35">
      <c r="C30" s="4"/>
      <c r="D30" t="s">
        <v>225</v>
      </c>
      <c r="F30" s="123"/>
      <c r="G30" s="123"/>
      <c r="H30" s="123"/>
      <c r="I30" s="123"/>
      <c r="J30" s="123">
        <v>52</v>
      </c>
      <c r="K30" s="123">
        <v>20</v>
      </c>
      <c r="L30" s="123">
        <v>29</v>
      </c>
      <c r="M30" s="123">
        <v>33</v>
      </c>
      <c r="N30" s="17"/>
    </row>
    <row r="31" spans="3:14" x14ac:dyDescent="0.35">
      <c r="C31" s="4"/>
      <c r="D31" t="s">
        <v>226</v>
      </c>
      <c r="F31" s="123"/>
      <c r="G31" s="123"/>
      <c r="H31" s="123"/>
      <c r="I31" s="123"/>
      <c r="J31" s="123">
        <v>31</v>
      </c>
      <c r="K31" s="123">
        <v>33</v>
      </c>
      <c r="L31" s="123">
        <v>38</v>
      </c>
      <c r="M31" s="123">
        <v>45</v>
      </c>
      <c r="N31" s="17"/>
    </row>
    <row r="32" spans="3:14" x14ac:dyDescent="0.35">
      <c r="C32" s="4"/>
      <c r="D32" t="s">
        <v>229</v>
      </c>
      <c r="F32" s="123"/>
      <c r="G32" s="123"/>
      <c r="H32" s="123"/>
      <c r="I32" s="123"/>
      <c r="J32" s="123"/>
      <c r="K32" s="123">
        <v>21</v>
      </c>
      <c r="L32" s="123">
        <v>28</v>
      </c>
      <c r="M32" s="123">
        <v>25</v>
      </c>
      <c r="N32" s="17"/>
    </row>
    <row r="33" spans="3:14" x14ac:dyDescent="0.35">
      <c r="C33" s="4"/>
      <c r="D33" t="s">
        <v>230</v>
      </c>
      <c r="F33" s="123"/>
      <c r="G33" s="123"/>
      <c r="H33" s="123"/>
      <c r="I33" s="123"/>
      <c r="J33" s="123"/>
      <c r="K33" s="123">
        <v>21</v>
      </c>
      <c r="L33" s="123">
        <v>28</v>
      </c>
      <c r="M33" s="123">
        <v>25</v>
      </c>
      <c r="N33" s="17"/>
    </row>
    <row r="34" spans="3:14" x14ac:dyDescent="0.35">
      <c r="C34" s="4"/>
      <c r="D34" t="s">
        <v>231</v>
      </c>
      <c r="F34" s="123"/>
      <c r="G34" s="123"/>
      <c r="H34" s="123"/>
      <c r="I34" s="123"/>
      <c r="J34" s="123"/>
      <c r="K34" s="123">
        <v>39</v>
      </c>
      <c r="L34" s="123">
        <v>48</v>
      </c>
      <c r="M34" s="123">
        <v>50</v>
      </c>
      <c r="N34" s="17"/>
    </row>
    <row r="35" spans="3:14" x14ac:dyDescent="0.35">
      <c r="C35" s="4"/>
      <c r="D35" t="s">
        <v>233</v>
      </c>
      <c r="F35" s="123">
        <v>12</v>
      </c>
      <c r="G35" s="123">
        <v>18</v>
      </c>
      <c r="H35" s="123">
        <v>24</v>
      </c>
      <c r="I35" s="123">
        <v>12</v>
      </c>
      <c r="J35" s="123"/>
      <c r="K35" s="123">
        <v>18</v>
      </c>
      <c r="L35" s="123">
        <v>30</v>
      </c>
      <c r="M35" s="123">
        <v>20</v>
      </c>
      <c r="N35" s="17">
        <v>18</v>
      </c>
    </row>
    <row r="36" spans="3:14" x14ac:dyDescent="0.35">
      <c r="C36" s="7"/>
      <c r="D36" s="9" t="s">
        <v>239</v>
      </c>
      <c r="E36" s="9"/>
      <c r="F36" s="18"/>
      <c r="G36" s="18"/>
      <c r="H36" s="18"/>
      <c r="I36" s="18"/>
      <c r="J36" s="18"/>
      <c r="K36" s="18">
        <v>19</v>
      </c>
      <c r="L36" s="18">
        <v>35</v>
      </c>
      <c r="M36" s="18">
        <v>46</v>
      </c>
      <c r="N36" s="19"/>
    </row>
    <row r="38" spans="3:14" ht="13.15" x14ac:dyDescent="0.4">
      <c r="C38" s="68" t="s">
        <v>240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3:14" x14ac:dyDescent="0.35">
      <c r="C39" s="4"/>
      <c r="N39" s="6"/>
    </row>
    <row r="40" spans="3:14" x14ac:dyDescent="0.35">
      <c r="C40" s="4"/>
      <c r="F40" s="123" t="s">
        <v>241</v>
      </c>
      <c r="G40" s="123" t="s">
        <v>242</v>
      </c>
      <c r="H40" s="123" t="s">
        <v>243</v>
      </c>
      <c r="I40" s="123" t="s">
        <v>244</v>
      </c>
      <c r="J40" s="123" t="s">
        <v>245</v>
      </c>
      <c r="K40" s="123" t="s">
        <v>246</v>
      </c>
      <c r="L40" s="123" t="s">
        <v>247</v>
      </c>
      <c r="M40" s="123" t="s">
        <v>248</v>
      </c>
      <c r="N40" s="17"/>
    </row>
    <row r="41" spans="3:14" ht="13.15" x14ac:dyDescent="0.4">
      <c r="C41" s="4"/>
      <c r="D41" s="23" t="s">
        <v>249</v>
      </c>
      <c r="E41" s="23"/>
      <c r="F41" s="124"/>
      <c r="G41" s="124"/>
      <c r="H41" s="124"/>
      <c r="I41" s="124"/>
      <c r="J41" s="130">
        <v>0.63</v>
      </c>
      <c r="K41" s="130">
        <v>0.31</v>
      </c>
      <c r="L41" s="130">
        <v>0.57999999999999996</v>
      </c>
      <c r="M41" s="130">
        <v>0.85</v>
      </c>
      <c r="N41" s="17"/>
    </row>
    <row r="42" spans="3:14" x14ac:dyDescent="0.35">
      <c r="C42" s="4"/>
      <c r="D42" t="s">
        <v>250</v>
      </c>
      <c r="F42" s="123"/>
      <c r="G42" s="123"/>
      <c r="H42" s="123"/>
      <c r="I42" s="123"/>
      <c r="J42" s="131">
        <v>0.61</v>
      </c>
      <c r="K42" s="131">
        <v>0.27</v>
      </c>
      <c r="L42" s="131">
        <v>0.49</v>
      </c>
      <c r="M42" s="131">
        <v>0.78</v>
      </c>
      <c r="N42" s="17"/>
    </row>
    <row r="43" spans="3:14" x14ac:dyDescent="0.35">
      <c r="C43" s="4"/>
      <c r="D43" t="s">
        <v>251</v>
      </c>
      <c r="F43" s="123"/>
      <c r="G43" s="123"/>
      <c r="H43" s="123"/>
      <c r="I43" s="123"/>
      <c r="J43" s="131">
        <v>0.66</v>
      </c>
      <c r="K43" s="131">
        <v>0.34</v>
      </c>
      <c r="L43" s="131">
        <v>0.56999999999999995</v>
      </c>
      <c r="M43" s="131">
        <v>0.88</v>
      </c>
      <c r="N43" s="17"/>
    </row>
    <row r="44" spans="3:14" x14ac:dyDescent="0.35">
      <c r="C44" s="4"/>
      <c r="D44" t="s">
        <v>252</v>
      </c>
      <c r="F44" s="123"/>
      <c r="G44" s="123"/>
      <c r="H44" s="123"/>
      <c r="I44" s="123"/>
      <c r="J44" s="131">
        <v>0.7</v>
      </c>
      <c r="K44" s="131">
        <v>0.48</v>
      </c>
      <c r="L44" s="131">
        <v>0.74</v>
      </c>
      <c r="M44" s="131">
        <v>0.9</v>
      </c>
      <c r="N44" s="17"/>
    </row>
    <row r="45" spans="3:14" x14ac:dyDescent="0.35">
      <c r="C45" s="4"/>
      <c r="D45" t="s">
        <v>253</v>
      </c>
      <c r="F45" s="123"/>
      <c r="G45" s="123"/>
      <c r="H45" s="123"/>
      <c r="I45" s="123"/>
      <c r="J45" s="131">
        <v>0.66</v>
      </c>
      <c r="K45" s="131">
        <v>0.33</v>
      </c>
      <c r="L45" s="131">
        <v>0.74</v>
      </c>
      <c r="M45" s="131">
        <v>1</v>
      </c>
      <c r="N45" s="17"/>
    </row>
    <row r="46" spans="3:14" ht="13.15" x14ac:dyDescent="0.4">
      <c r="C46" s="4"/>
      <c r="D46" s="23" t="s">
        <v>233</v>
      </c>
      <c r="E46" s="23"/>
      <c r="F46" s="130">
        <v>0.8</v>
      </c>
      <c r="G46" s="130">
        <v>0.75</v>
      </c>
      <c r="H46" s="130">
        <v>0.85</v>
      </c>
      <c r="I46" s="130">
        <v>0.69</v>
      </c>
      <c r="J46" s="123"/>
      <c r="K46" s="123"/>
      <c r="L46" s="123"/>
      <c r="M46" s="123"/>
      <c r="N46" s="17"/>
    </row>
    <row r="47" spans="3:14" x14ac:dyDescent="0.35">
      <c r="C47" s="4"/>
      <c r="D47" t="s">
        <v>254</v>
      </c>
      <c r="F47" s="123"/>
      <c r="G47" s="123"/>
      <c r="H47" s="123"/>
      <c r="I47" s="123"/>
      <c r="J47" s="131">
        <v>0.65</v>
      </c>
      <c r="K47" s="131">
        <v>0.32</v>
      </c>
      <c r="L47" s="131">
        <v>0.6</v>
      </c>
      <c r="M47" s="131">
        <v>0.83</v>
      </c>
      <c r="N47" s="17"/>
    </row>
    <row r="48" spans="3:14" x14ac:dyDescent="0.35">
      <c r="C48" s="7"/>
      <c r="D48" s="9" t="s">
        <v>255</v>
      </c>
      <c r="E48" s="9"/>
      <c r="F48" s="18"/>
      <c r="G48" s="18"/>
      <c r="H48" s="18"/>
      <c r="I48" s="18"/>
      <c r="J48" s="20">
        <v>0.87</v>
      </c>
      <c r="K48" s="20">
        <v>0.7</v>
      </c>
      <c r="L48" s="20">
        <v>0.67</v>
      </c>
      <c r="M48" s="20">
        <v>0.81</v>
      </c>
      <c r="N48" s="19"/>
    </row>
    <row r="49" spans="1:25" x14ac:dyDescent="0.3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ht="13.15" x14ac:dyDescent="0.4">
      <c r="A50" s="28"/>
      <c r="B50" s="28"/>
      <c r="C50" s="68" t="s">
        <v>256</v>
      </c>
      <c r="D50" s="69"/>
      <c r="E50" s="69"/>
      <c r="F50" s="69"/>
      <c r="G50" s="69"/>
      <c r="H50" s="7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x14ac:dyDescent="0.35">
      <c r="A51" s="28"/>
      <c r="B51" s="28"/>
      <c r="C51" s="29"/>
      <c r="D51" s="28"/>
      <c r="E51" s="28"/>
      <c r="F51" s="28"/>
      <c r="G51" s="28"/>
      <c r="H51" s="30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x14ac:dyDescent="0.35">
      <c r="A52" s="28"/>
      <c r="B52" s="28"/>
      <c r="C52" s="29"/>
      <c r="D52" s="71" t="s">
        <v>320</v>
      </c>
      <c r="E52" s="69"/>
      <c r="F52" s="69"/>
      <c r="G52" s="70"/>
      <c r="H52" s="30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x14ac:dyDescent="0.35">
      <c r="A53" s="28"/>
      <c r="B53" s="28"/>
      <c r="C53" s="29"/>
      <c r="D53" s="29"/>
      <c r="E53" s="28"/>
      <c r="F53" s="28"/>
      <c r="G53" s="30"/>
      <c r="H53" s="30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x14ac:dyDescent="0.35">
      <c r="A54" s="28"/>
      <c r="B54" s="28"/>
      <c r="C54" s="29"/>
      <c r="D54" s="29"/>
      <c r="E54" s="28"/>
      <c r="F54" s="132" t="s">
        <v>257</v>
      </c>
      <c r="G54" s="133" t="s">
        <v>30</v>
      </c>
      <c r="H54" s="30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x14ac:dyDescent="0.35">
      <c r="A55" s="28"/>
      <c r="B55" s="28"/>
      <c r="C55" s="29"/>
      <c r="D55" s="29"/>
      <c r="E55" s="28"/>
      <c r="F55" s="132"/>
      <c r="G55" s="133"/>
      <c r="H55" s="30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x14ac:dyDescent="0.35">
      <c r="A56" s="28"/>
      <c r="B56" s="28"/>
      <c r="C56" s="29"/>
      <c r="D56" s="29" t="s">
        <v>226</v>
      </c>
      <c r="E56" s="28"/>
      <c r="F56" s="134">
        <v>1395</v>
      </c>
      <c r="G56" s="135">
        <v>2558</v>
      </c>
      <c r="H56" s="30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x14ac:dyDescent="0.35">
      <c r="A57" s="28"/>
      <c r="B57" s="28"/>
      <c r="C57" s="29"/>
      <c r="D57" s="29" t="s">
        <v>258</v>
      </c>
      <c r="E57" s="28"/>
      <c r="F57" s="134">
        <v>1200</v>
      </c>
      <c r="G57" s="135">
        <v>2500</v>
      </c>
      <c r="H57" s="30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x14ac:dyDescent="0.35">
      <c r="A58" s="28"/>
      <c r="B58" s="28"/>
      <c r="C58" s="29"/>
      <c r="D58" s="29" t="s">
        <v>233</v>
      </c>
      <c r="E58" s="28"/>
      <c r="F58" s="134">
        <v>873</v>
      </c>
      <c r="G58" s="135">
        <v>1778</v>
      </c>
      <c r="H58" s="30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x14ac:dyDescent="0.35">
      <c r="A59" s="28"/>
      <c r="B59" s="28"/>
      <c r="C59" s="29"/>
      <c r="D59" s="31" t="s">
        <v>259</v>
      </c>
      <c r="E59" s="32"/>
      <c r="F59" s="136"/>
      <c r="G59" s="137">
        <v>1336</v>
      </c>
      <c r="H59" s="30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x14ac:dyDescent="0.35">
      <c r="A60" s="28"/>
      <c r="B60" s="28"/>
      <c r="C60" s="29"/>
      <c r="D60" s="28"/>
      <c r="E60" s="28"/>
      <c r="F60" s="132"/>
      <c r="G60" s="132"/>
      <c r="H60" s="30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x14ac:dyDescent="0.35">
      <c r="A61" s="28"/>
      <c r="B61" s="28"/>
      <c r="C61" s="29"/>
      <c r="D61" s="71" t="s">
        <v>321</v>
      </c>
      <c r="E61" s="69"/>
      <c r="F61" s="138"/>
      <c r="G61" s="139"/>
      <c r="H61" s="30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x14ac:dyDescent="0.35">
      <c r="A62" s="28"/>
      <c r="B62" s="28"/>
      <c r="C62" s="29"/>
      <c r="D62" s="29"/>
      <c r="E62" s="28"/>
      <c r="F62" s="132" t="s">
        <v>257</v>
      </c>
      <c r="G62" s="133" t="s">
        <v>30</v>
      </c>
      <c r="H62" s="30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x14ac:dyDescent="0.35">
      <c r="A63" s="28"/>
      <c r="B63" s="28"/>
      <c r="C63" s="29"/>
      <c r="D63" s="29" t="s">
        <v>226</v>
      </c>
      <c r="E63" s="28"/>
      <c r="F63" s="134">
        <v>1562</v>
      </c>
      <c r="G63" s="135">
        <v>2865</v>
      </c>
      <c r="H63" s="30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x14ac:dyDescent="0.35">
      <c r="A64" s="28"/>
      <c r="B64" s="28"/>
      <c r="C64" s="29"/>
      <c r="D64" s="29" t="s">
        <v>258</v>
      </c>
      <c r="E64" s="28"/>
      <c r="F64" s="134">
        <v>1272</v>
      </c>
      <c r="G64" s="135">
        <v>2650</v>
      </c>
      <c r="H64" s="30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x14ac:dyDescent="0.35">
      <c r="A65" s="28"/>
      <c r="B65" s="28"/>
      <c r="C65" s="29"/>
      <c r="D65" s="29" t="s">
        <v>233</v>
      </c>
      <c r="E65" s="28"/>
      <c r="F65" s="134">
        <v>1065</v>
      </c>
      <c r="G65" s="135">
        <v>2169</v>
      </c>
      <c r="H65" s="30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x14ac:dyDescent="0.35">
      <c r="A66" s="28"/>
      <c r="B66" s="28"/>
      <c r="C66" s="29"/>
      <c r="D66" s="31" t="s">
        <v>259</v>
      </c>
      <c r="E66" s="32"/>
      <c r="F66" s="136"/>
      <c r="G66" s="137">
        <v>1389</v>
      </c>
      <c r="H66" s="30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x14ac:dyDescent="0.35">
      <c r="A67" s="28"/>
      <c r="B67" s="28"/>
      <c r="C67" s="29"/>
      <c r="D67" s="28"/>
      <c r="E67" s="28"/>
      <c r="F67" s="28"/>
      <c r="G67" s="28"/>
      <c r="H67" s="30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x14ac:dyDescent="0.35">
      <c r="A68" s="28"/>
      <c r="B68" s="28"/>
      <c r="C68" s="29"/>
      <c r="D68" s="71" t="s">
        <v>260</v>
      </c>
      <c r="E68" s="69"/>
      <c r="F68" s="69"/>
      <c r="G68" s="70"/>
      <c r="H68" s="30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x14ac:dyDescent="0.35">
      <c r="A69" s="28"/>
      <c r="B69" s="28"/>
      <c r="C69" s="29"/>
      <c r="D69" s="29" t="s">
        <v>261</v>
      </c>
      <c r="E69" s="28">
        <v>1.35</v>
      </c>
      <c r="F69" s="28"/>
      <c r="G69" s="30"/>
      <c r="H69" s="30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x14ac:dyDescent="0.35">
      <c r="A70" s="28"/>
      <c r="B70" s="28"/>
      <c r="C70" s="29"/>
      <c r="D70" s="29" t="s">
        <v>262</v>
      </c>
      <c r="E70" s="28">
        <v>1.22</v>
      </c>
      <c r="F70" s="28"/>
      <c r="G70" s="30"/>
      <c r="H70" s="30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x14ac:dyDescent="0.35">
      <c r="A71" s="28"/>
      <c r="B71" s="28"/>
      <c r="C71" s="29"/>
      <c r="D71" s="29" t="s">
        <v>263</v>
      </c>
      <c r="E71" s="28">
        <v>1.1200000000000001</v>
      </c>
      <c r="F71" s="28"/>
      <c r="G71" s="30"/>
      <c r="H71" s="30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x14ac:dyDescent="0.35">
      <c r="A72" s="28"/>
      <c r="B72" s="28"/>
      <c r="C72" s="29"/>
      <c r="D72" s="29" t="s">
        <v>264</v>
      </c>
      <c r="E72" s="28">
        <v>1.06</v>
      </c>
      <c r="F72" s="28"/>
      <c r="G72" s="30"/>
      <c r="H72" s="30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x14ac:dyDescent="0.35">
      <c r="A73" s="28"/>
      <c r="B73" s="28"/>
      <c r="C73" s="29"/>
      <c r="D73" s="31" t="s">
        <v>265</v>
      </c>
      <c r="E73" s="32">
        <v>1.04</v>
      </c>
      <c r="F73" s="32"/>
      <c r="G73" s="33"/>
      <c r="H73" s="30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x14ac:dyDescent="0.35">
      <c r="A74" s="28"/>
      <c r="B74" s="28"/>
      <c r="C74" s="31"/>
      <c r="D74" s="32"/>
      <c r="E74" s="32"/>
      <c r="F74" s="32"/>
      <c r="G74" s="32"/>
      <c r="H74" s="33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x14ac:dyDescent="0.3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3.15" x14ac:dyDescent="0.4">
      <c r="A76" s="28"/>
      <c r="B76" s="28"/>
      <c r="C76" s="68" t="s">
        <v>322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0"/>
      <c r="R76" s="28"/>
      <c r="S76" s="28"/>
      <c r="T76" s="28"/>
      <c r="U76" s="28"/>
      <c r="V76" s="28"/>
      <c r="W76" s="28"/>
      <c r="X76" s="28"/>
      <c r="Y76" s="28"/>
    </row>
    <row r="77" spans="1:25" x14ac:dyDescent="0.35">
      <c r="A77" s="28"/>
      <c r="B77" s="28"/>
      <c r="C77" s="29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0"/>
      <c r="R77" s="28"/>
      <c r="S77" s="28"/>
      <c r="T77" s="28"/>
      <c r="U77" s="28"/>
      <c r="V77" s="28"/>
      <c r="W77" s="28"/>
      <c r="X77" s="28"/>
      <c r="Y77" s="28"/>
    </row>
    <row r="78" spans="1:25" x14ac:dyDescent="0.35">
      <c r="A78" s="28"/>
      <c r="B78" s="28"/>
      <c r="C78" s="29"/>
      <c r="D78" s="28"/>
      <c r="E78" s="28"/>
      <c r="F78" s="132" t="s">
        <v>266</v>
      </c>
      <c r="G78" s="132" t="s">
        <v>267</v>
      </c>
      <c r="H78" s="132" t="s">
        <v>268</v>
      </c>
      <c r="I78" s="132" t="s">
        <v>269</v>
      </c>
      <c r="J78" s="132" t="s">
        <v>26</v>
      </c>
      <c r="K78" s="132" t="s">
        <v>27</v>
      </c>
      <c r="L78" s="132" t="s">
        <v>28</v>
      </c>
      <c r="M78" s="132" t="s">
        <v>270</v>
      </c>
      <c r="N78" s="132"/>
      <c r="O78" s="28" t="s">
        <v>260</v>
      </c>
      <c r="P78" s="28"/>
      <c r="Q78" s="30"/>
      <c r="R78" s="28"/>
      <c r="S78" s="28"/>
      <c r="T78" s="28"/>
      <c r="U78" s="28"/>
      <c r="V78" s="28"/>
      <c r="W78" s="28"/>
      <c r="X78" s="28"/>
      <c r="Y78" s="28"/>
    </row>
    <row r="79" spans="1:25" x14ac:dyDescent="0.35">
      <c r="A79" s="28"/>
      <c r="B79" s="28"/>
      <c r="C79" s="29"/>
      <c r="D79" s="28" t="s">
        <v>225</v>
      </c>
      <c r="E79" s="28"/>
      <c r="F79" s="132" t="s">
        <v>271</v>
      </c>
      <c r="G79" s="132" t="s">
        <v>271</v>
      </c>
      <c r="H79" s="132" t="s">
        <v>271</v>
      </c>
      <c r="I79" s="132" t="s">
        <v>271</v>
      </c>
      <c r="J79" s="132">
        <v>43</v>
      </c>
      <c r="K79" s="132">
        <v>51</v>
      </c>
      <c r="L79" s="132">
        <v>130</v>
      </c>
      <c r="M79" s="132" t="s">
        <v>271</v>
      </c>
      <c r="N79" s="132"/>
      <c r="O79" s="28"/>
      <c r="P79" s="34" t="s">
        <v>261</v>
      </c>
      <c r="Q79" s="30">
        <v>1.35</v>
      </c>
      <c r="R79" s="28"/>
      <c r="S79" s="28"/>
      <c r="T79" s="28"/>
      <c r="U79" s="28"/>
      <c r="V79" s="28"/>
      <c r="W79" s="28"/>
      <c r="X79" s="28"/>
      <c r="Y79" s="28"/>
    </row>
    <row r="80" spans="1:25" x14ac:dyDescent="0.35">
      <c r="A80" s="28"/>
      <c r="B80" s="28"/>
      <c r="C80" s="29"/>
      <c r="D80" s="28" t="s">
        <v>233</v>
      </c>
      <c r="E80" s="28"/>
      <c r="F80" s="132">
        <v>1</v>
      </c>
      <c r="G80" s="132">
        <v>3</v>
      </c>
      <c r="H80" s="132">
        <v>12</v>
      </c>
      <c r="I80" s="132">
        <v>6</v>
      </c>
      <c r="J80" s="132">
        <v>18</v>
      </c>
      <c r="K80" s="132">
        <v>48</v>
      </c>
      <c r="L80" s="132">
        <v>179</v>
      </c>
      <c r="M80" s="132">
        <v>48</v>
      </c>
      <c r="N80" s="132"/>
      <c r="O80" s="28"/>
      <c r="P80" s="34" t="s">
        <v>262</v>
      </c>
      <c r="Q80" s="30">
        <v>1.22</v>
      </c>
      <c r="R80" s="28"/>
      <c r="S80" s="28"/>
      <c r="T80" s="28"/>
      <c r="U80" s="28"/>
      <c r="V80" s="28"/>
      <c r="W80" s="28"/>
      <c r="X80" s="28"/>
      <c r="Y80" s="28"/>
    </row>
    <row r="81" spans="1:25" x14ac:dyDescent="0.35">
      <c r="A81" s="28"/>
      <c r="B81" s="28"/>
      <c r="C81" s="29"/>
      <c r="D81" s="28" t="s">
        <v>226</v>
      </c>
      <c r="E81" s="28"/>
      <c r="F81" s="132" t="s">
        <v>271</v>
      </c>
      <c r="G81" s="132" t="s">
        <v>271</v>
      </c>
      <c r="H81" s="132" t="s">
        <v>271</v>
      </c>
      <c r="I81" s="132" t="s">
        <v>271</v>
      </c>
      <c r="J81" s="132">
        <v>28</v>
      </c>
      <c r="K81" s="132">
        <v>66</v>
      </c>
      <c r="L81" s="132">
        <v>286</v>
      </c>
      <c r="M81" s="132" t="s">
        <v>271</v>
      </c>
      <c r="N81" s="132"/>
      <c r="O81" s="28"/>
      <c r="P81" s="34" t="s">
        <v>263</v>
      </c>
      <c r="Q81" s="30">
        <v>1.1200000000000001</v>
      </c>
      <c r="R81" s="28"/>
      <c r="S81" s="28"/>
      <c r="T81" s="28"/>
      <c r="U81" s="28"/>
      <c r="V81" s="28"/>
      <c r="W81" s="28"/>
      <c r="X81" s="28"/>
      <c r="Y81" s="28"/>
    </row>
    <row r="82" spans="1:25" x14ac:dyDescent="0.35">
      <c r="A82" s="28"/>
      <c r="B82" s="28"/>
      <c r="C82" s="29"/>
      <c r="D82" s="28"/>
      <c r="E82" s="28"/>
      <c r="F82" s="132"/>
      <c r="G82" s="132"/>
      <c r="H82" s="132"/>
      <c r="I82" s="132"/>
      <c r="J82" s="132"/>
      <c r="K82" s="132"/>
      <c r="L82" s="132"/>
      <c r="M82" s="132"/>
      <c r="N82" s="132"/>
      <c r="O82" s="28"/>
      <c r="P82" s="28"/>
      <c r="Q82" s="30"/>
      <c r="R82" s="28"/>
      <c r="S82" s="28"/>
      <c r="T82" s="28"/>
      <c r="U82" s="28"/>
      <c r="V82" s="28"/>
      <c r="W82" s="28"/>
      <c r="X82" s="28"/>
      <c r="Y82" s="28"/>
    </row>
    <row r="83" spans="1:25" x14ac:dyDescent="0.35">
      <c r="A83" s="28"/>
      <c r="B83" s="28"/>
      <c r="C83" s="29"/>
      <c r="D83" s="28" t="s">
        <v>272</v>
      </c>
      <c r="E83" s="28"/>
      <c r="F83" s="132">
        <v>1</v>
      </c>
      <c r="G83" s="132">
        <v>3</v>
      </c>
      <c r="H83" s="132">
        <v>12</v>
      </c>
      <c r="I83" s="132">
        <v>6</v>
      </c>
      <c r="J83" s="132">
        <v>30</v>
      </c>
      <c r="K83" s="132">
        <v>50</v>
      </c>
      <c r="L83" s="132">
        <v>180</v>
      </c>
      <c r="M83" s="132">
        <v>48</v>
      </c>
      <c r="N83" s="132"/>
      <c r="O83" s="28"/>
      <c r="P83" s="28"/>
      <c r="Q83" s="30"/>
      <c r="R83" s="28"/>
      <c r="S83" s="28"/>
      <c r="T83" s="28"/>
      <c r="U83" s="28"/>
      <c r="V83" s="28"/>
      <c r="W83" s="28"/>
      <c r="X83" s="28"/>
      <c r="Y83" s="28"/>
    </row>
    <row r="84" spans="1:25" x14ac:dyDescent="0.35">
      <c r="A84" s="28"/>
      <c r="B84" s="28"/>
      <c r="C84" s="31"/>
      <c r="D84" s="32" t="s">
        <v>273</v>
      </c>
      <c r="E84" s="32"/>
      <c r="F84" s="140">
        <v>1</v>
      </c>
      <c r="G84" s="140">
        <v>3</v>
      </c>
      <c r="H84" s="140">
        <v>12</v>
      </c>
      <c r="I84" s="140">
        <v>6</v>
      </c>
      <c r="J84" s="140" t="s">
        <v>274</v>
      </c>
      <c r="K84" s="140" t="s">
        <v>275</v>
      </c>
      <c r="L84" s="140" t="s">
        <v>276</v>
      </c>
      <c r="M84" s="140">
        <v>48</v>
      </c>
      <c r="N84" s="140"/>
      <c r="O84" s="32"/>
      <c r="P84" s="32"/>
      <c r="Q84" s="33"/>
      <c r="R84" s="28"/>
      <c r="S84" s="28"/>
      <c r="T84" s="28"/>
      <c r="U84" s="28"/>
      <c r="V84" s="28"/>
      <c r="W84" s="28"/>
      <c r="X84" s="28"/>
      <c r="Y84" s="28"/>
    </row>
    <row r="85" spans="1:25" x14ac:dyDescent="0.3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13.15" x14ac:dyDescent="0.4">
      <c r="A86" s="28"/>
      <c r="B86" s="28"/>
      <c r="C86" s="68" t="s">
        <v>323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70"/>
      <c r="Y86" s="28"/>
    </row>
    <row r="87" spans="1:25" x14ac:dyDescent="0.35">
      <c r="A87" s="28"/>
      <c r="B87" s="28"/>
      <c r="C87" s="29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30"/>
      <c r="Y87" s="28"/>
    </row>
    <row r="88" spans="1:25" ht="13.15" x14ac:dyDescent="0.4">
      <c r="A88" s="28"/>
      <c r="B88" s="28"/>
      <c r="C88" s="29"/>
      <c r="D88" s="68" t="s">
        <v>277</v>
      </c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7"/>
      <c r="X88" s="30"/>
      <c r="Y88" s="28"/>
    </row>
    <row r="89" spans="1:25" x14ac:dyDescent="0.35">
      <c r="A89" s="28"/>
      <c r="B89" s="28"/>
      <c r="C89" s="29"/>
      <c r="D89" s="29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30"/>
      <c r="X89" s="30"/>
      <c r="Y89" s="28"/>
    </row>
    <row r="90" spans="1:25" ht="13.15" x14ac:dyDescent="0.4">
      <c r="A90" s="28"/>
      <c r="B90" s="28"/>
      <c r="C90" s="29"/>
      <c r="D90" s="35"/>
      <c r="E90" s="36"/>
      <c r="F90" s="36"/>
      <c r="G90" s="37"/>
      <c r="H90" s="141" t="s">
        <v>266</v>
      </c>
      <c r="I90" s="141" t="s">
        <v>267</v>
      </c>
      <c r="J90" s="141" t="s">
        <v>278</v>
      </c>
      <c r="K90" s="141" t="s">
        <v>25</v>
      </c>
      <c r="L90" s="141" t="s">
        <v>45</v>
      </c>
      <c r="M90" s="141" t="s">
        <v>46</v>
      </c>
      <c r="N90" s="141" t="s">
        <v>47</v>
      </c>
      <c r="O90" s="141" t="s">
        <v>270</v>
      </c>
      <c r="P90" s="37"/>
      <c r="Q90" s="38" t="s">
        <v>29</v>
      </c>
      <c r="R90" s="37"/>
      <c r="S90" s="37"/>
      <c r="T90" s="37"/>
      <c r="U90" s="37"/>
      <c r="V90" s="37"/>
      <c r="W90" s="39"/>
      <c r="X90" s="30"/>
      <c r="Y90" s="28"/>
    </row>
    <row r="91" spans="1:25" x14ac:dyDescent="0.35">
      <c r="A91" s="28"/>
      <c r="B91" s="28"/>
      <c r="C91" s="29"/>
      <c r="D91" s="40" t="s">
        <v>279</v>
      </c>
      <c r="E91" s="36"/>
      <c r="F91" s="36"/>
      <c r="G91" s="41" t="s">
        <v>280</v>
      </c>
      <c r="H91" s="42">
        <v>0.8</v>
      </c>
      <c r="I91" s="42">
        <v>0.75</v>
      </c>
      <c r="J91" s="42">
        <v>0.85</v>
      </c>
      <c r="K91" s="42">
        <v>0.69</v>
      </c>
      <c r="L91" s="42">
        <v>0.63</v>
      </c>
      <c r="M91" s="42">
        <v>0.31</v>
      </c>
      <c r="N91" s="42">
        <v>0.57999999999999996</v>
      </c>
      <c r="O91" s="42">
        <v>0.85</v>
      </c>
      <c r="P91" s="37"/>
      <c r="Q91" s="37"/>
      <c r="R91" s="37"/>
      <c r="S91" s="37"/>
      <c r="T91" s="37"/>
      <c r="U91" s="37"/>
      <c r="V91" s="37"/>
      <c r="W91" s="39"/>
      <c r="X91" s="30"/>
      <c r="Y91" s="28"/>
    </row>
    <row r="92" spans="1:25" x14ac:dyDescent="0.35">
      <c r="A92" s="28"/>
      <c r="B92" s="28"/>
      <c r="C92" s="29"/>
      <c r="D92" s="40" t="s">
        <v>281</v>
      </c>
      <c r="E92" s="36"/>
      <c r="F92" s="36"/>
      <c r="G92" s="41" t="s">
        <v>280</v>
      </c>
      <c r="H92" s="43">
        <f>H91*I91*J91*K91*L91*M91*N91*O91</f>
        <v>3.3881952509999994E-2</v>
      </c>
      <c r="I92" s="43">
        <f>I91*J91*K91*L91*M91*N91*O91</f>
        <v>4.2352440637499995E-2</v>
      </c>
      <c r="J92" s="43">
        <f>J91*K91*L91*M91*N91*O91</f>
        <v>5.6469920849999987E-2</v>
      </c>
      <c r="K92" s="43">
        <f>K91*L91*M91*N91*O91</f>
        <v>6.6435200999999985E-2</v>
      </c>
      <c r="L92" s="43">
        <f>L91*M91*N91*O91</f>
        <v>9.6282899999999991E-2</v>
      </c>
      <c r="M92" s="43">
        <f>M91*N91*O91</f>
        <v>0.15282999999999999</v>
      </c>
      <c r="N92" s="43">
        <f>N91*O91</f>
        <v>0.49299999999999994</v>
      </c>
      <c r="O92" s="43">
        <f>O91</f>
        <v>0.85</v>
      </c>
      <c r="P92" s="37"/>
      <c r="Q92" s="37"/>
      <c r="R92" s="37"/>
      <c r="S92" s="37"/>
      <c r="T92" s="37"/>
      <c r="U92" s="37"/>
      <c r="V92" s="37"/>
      <c r="W92" s="39"/>
      <c r="X92" s="30"/>
      <c r="Y92" s="28"/>
    </row>
    <row r="93" spans="1:25" x14ac:dyDescent="0.35">
      <c r="A93" s="28"/>
      <c r="B93" s="28"/>
      <c r="C93" s="29"/>
      <c r="D93" s="40" t="s">
        <v>282</v>
      </c>
      <c r="E93" s="36"/>
      <c r="F93" s="36"/>
      <c r="G93" s="41" t="s">
        <v>283</v>
      </c>
      <c r="H93" s="44">
        <f>1/H92</f>
        <v>29.51423769645087</v>
      </c>
      <c r="I93" s="44">
        <f>1/I92</f>
        <v>23.611390157160695</v>
      </c>
      <c r="J93" s="44">
        <f t="shared" ref="J93:O93" si="0">1/J92</f>
        <v>17.708542617870524</v>
      </c>
      <c r="K93" s="44">
        <f t="shared" si="0"/>
        <v>15.052261225189945</v>
      </c>
      <c r="L93" s="44">
        <f t="shared" si="0"/>
        <v>10.38606024538106</v>
      </c>
      <c r="M93" s="44">
        <f t="shared" si="0"/>
        <v>6.5432179545900677</v>
      </c>
      <c r="N93" s="44">
        <f t="shared" si="0"/>
        <v>2.028397565922921</v>
      </c>
      <c r="O93" s="44">
        <f t="shared" si="0"/>
        <v>1.1764705882352942</v>
      </c>
      <c r="P93" s="37"/>
      <c r="Q93" s="37"/>
      <c r="R93" s="37"/>
      <c r="S93" s="37"/>
      <c r="T93" s="37"/>
      <c r="U93" s="37"/>
      <c r="V93" s="37"/>
      <c r="W93" s="39"/>
      <c r="X93" s="30"/>
      <c r="Y93" s="28"/>
    </row>
    <row r="94" spans="1:25" x14ac:dyDescent="0.35">
      <c r="A94" s="28"/>
      <c r="B94" s="28"/>
      <c r="C94" s="29"/>
      <c r="D94" s="35"/>
      <c r="E94" s="36"/>
      <c r="F94" s="36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9"/>
      <c r="X94" s="30"/>
      <c r="Y94" s="28"/>
    </row>
    <row r="95" spans="1:25" x14ac:dyDescent="0.35">
      <c r="A95" s="28"/>
      <c r="B95" s="28"/>
      <c r="C95" s="29"/>
      <c r="D95" s="40" t="s">
        <v>284</v>
      </c>
      <c r="E95" s="36"/>
      <c r="F95" s="36" t="s">
        <v>285</v>
      </c>
      <c r="G95" s="41" t="s">
        <v>286</v>
      </c>
      <c r="H95" s="45"/>
      <c r="I95" s="45"/>
      <c r="J95" s="45"/>
      <c r="K95" s="45"/>
      <c r="L95" s="45">
        <v>32</v>
      </c>
      <c r="M95" s="45">
        <v>38</v>
      </c>
      <c r="N95" s="45">
        <v>96</v>
      </c>
      <c r="O95" s="45"/>
      <c r="P95" s="37"/>
      <c r="Q95" s="37"/>
      <c r="R95" s="37"/>
      <c r="S95" s="37"/>
      <c r="T95" s="37"/>
      <c r="U95" s="37"/>
      <c r="V95" s="37"/>
      <c r="W95" s="39"/>
      <c r="X95" s="30"/>
      <c r="Y95" s="28"/>
    </row>
    <row r="96" spans="1:25" x14ac:dyDescent="0.35">
      <c r="A96" s="28"/>
      <c r="B96" s="28"/>
      <c r="C96" s="29"/>
      <c r="D96" s="40" t="s">
        <v>287</v>
      </c>
      <c r="E96" s="36"/>
      <c r="F96" s="36" t="s">
        <v>285</v>
      </c>
      <c r="G96" s="41" t="s">
        <v>286</v>
      </c>
      <c r="H96" s="45">
        <v>1</v>
      </c>
      <c r="I96" s="45">
        <v>2.5</v>
      </c>
      <c r="J96" s="45">
        <v>10</v>
      </c>
      <c r="K96" s="45">
        <v>5</v>
      </c>
      <c r="L96" s="45">
        <v>15</v>
      </c>
      <c r="M96" s="45">
        <v>40</v>
      </c>
      <c r="N96" s="45">
        <v>150</v>
      </c>
      <c r="O96" s="45">
        <v>40</v>
      </c>
      <c r="P96" s="37"/>
      <c r="Q96" s="37"/>
      <c r="R96" s="37"/>
      <c r="S96" s="37"/>
      <c r="T96" s="37"/>
      <c r="U96" s="37"/>
      <c r="V96" s="37"/>
      <c r="W96" s="39"/>
      <c r="X96" s="30"/>
      <c r="Y96" s="28"/>
    </row>
    <row r="97" spans="1:25" x14ac:dyDescent="0.35">
      <c r="A97" s="28"/>
      <c r="B97" s="28"/>
      <c r="C97" s="29"/>
      <c r="D97" s="40" t="s">
        <v>288</v>
      </c>
      <c r="E97" s="36"/>
      <c r="F97" s="36" t="s">
        <v>285</v>
      </c>
      <c r="G97" s="41" t="s">
        <v>286</v>
      </c>
      <c r="H97" s="45"/>
      <c r="I97" s="45"/>
      <c r="J97" s="45"/>
      <c r="K97" s="45"/>
      <c r="L97" s="45">
        <v>25</v>
      </c>
      <c r="M97" s="45">
        <v>59</v>
      </c>
      <c r="N97" s="45">
        <v>255</v>
      </c>
      <c r="O97" s="45"/>
      <c r="P97" s="37"/>
      <c r="Q97" s="37"/>
      <c r="R97" s="37"/>
      <c r="S97" s="37"/>
      <c r="T97" s="37"/>
      <c r="U97" s="37"/>
      <c r="V97" s="37"/>
      <c r="W97" s="39"/>
      <c r="X97" s="30"/>
      <c r="Y97" s="28"/>
    </row>
    <row r="98" spans="1:25" x14ac:dyDescent="0.35">
      <c r="A98" s="28"/>
      <c r="B98" s="28"/>
      <c r="C98" s="29"/>
      <c r="D98" s="40"/>
      <c r="E98" s="36"/>
      <c r="F98" s="36"/>
      <c r="G98" s="41"/>
      <c r="H98" s="45"/>
      <c r="I98" s="45"/>
      <c r="J98" s="45"/>
      <c r="K98" s="45"/>
      <c r="L98" s="45"/>
      <c r="M98" s="45"/>
      <c r="N98" s="45"/>
      <c r="O98" s="45"/>
      <c r="P98" s="37"/>
      <c r="Q98" s="37"/>
      <c r="R98" s="37"/>
      <c r="S98" s="37"/>
      <c r="T98" s="37"/>
      <c r="U98" s="37"/>
      <c r="V98" s="37"/>
      <c r="W98" s="39"/>
      <c r="X98" s="30"/>
      <c r="Y98" s="28"/>
    </row>
    <row r="99" spans="1:25" x14ac:dyDescent="0.35">
      <c r="A99" s="28"/>
      <c r="B99" s="28"/>
      <c r="C99" s="29"/>
      <c r="D99" s="40" t="s">
        <v>284</v>
      </c>
      <c r="E99" s="36"/>
      <c r="F99" s="36" t="s">
        <v>289</v>
      </c>
      <c r="G99" s="41" t="s">
        <v>286</v>
      </c>
      <c r="H99" s="45">
        <v>0</v>
      </c>
      <c r="I99" s="45">
        <v>0</v>
      </c>
      <c r="J99" s="45">
        <v>0</v>
      </c>
      <c r="K99" s="45">
        <v>0</v>
      </c>
      <c r="L99" s="45">
        <v>43.2</v>
      </c>
      <c r="M99" s="45">
        <v>51.300000000000004</v>
      </c>
      <c r="N99" s="45">
        <v>129.60000000000002</v>
      </c>
      <c r="O99" s="45">
        <v>0</v>
      </c>
      <c r="P99" s="37"/>
      <c r="Q99" s="37"/>
      <c r="R99" s="37"/>
      <c r="S99" s="37"/>
      <c r="T99" s="37"/>
      <c r="U99" s="37"/>
      <c r="V99" s="37"/>
      <c r="W99" s="39"/>
      <c r="X99" s="30"/>
      <c r="Y99" s="28"/>
    </row>
    <row r="100" spans="1:25" x14ac:dyDescent="0.35">
      <c r="A100" s="28"/>
      <c r="B100" s="28"/>
      <c r="C100" s="29"/>
      <c r="D100" s="40" t="s">
        <v>287</v>
      </c>
      <c r="E100" s="36"/>
      <c r="F100" s="36" t="s">
        <v>289</v>
      </c>
      <c r="G100" s="41" t="s">
        <v>286</v>
      </c>
      <c r="H100" s="45">
        <v>1.22</v>
      </c>
      <c r="I100" s="45">
        <v>3.05</v>
      </c>
      <c r="J100" s="45">
        <v>12.2</v>
      </c>
      <c r="K100" s="45">
        <v>6.1</v>
      </c>
      <c r="L100" s="45">
        <v>18.3</v>
      </c>
      <c r="M100" s="45">
        <v>48.8</v>
      </c>
      <c r="N100" s="45">
        <v>183</v>
      </c>
      <c r="O100" s="45">
        <v>48.8</v>
      </c>
      <c r="P100" s="37"/>
      <c r="Q100" s="37"/>
      <c r="R100" s="37"/>
      <c r="S100" s="37"/>
      <c r="T100" s="37"/>
      <c r="U100" s="37"/>
      <c r="V100" s="37"/>
      <c r="W100" s="39"/>
      <c r="X100" s="30"/>
      <c r="Y100" s="28"/>
    </row>
    <row r="101" spans="1:25" x14ac:dyDescent="0.35">
      <c r="A101" s="28"/>
      <c r="B101" s="28"/>
      <c r="C101" s="29"/>
      <c r="D101" s="40" t="s">
        <v>288</v>
      </c>
      <c r="E101" s="36"/>
      <c r="F101" s="36" t="s">
        <v>289</v>
      </c>
      <c r="G101" s="41" t="s">
        <v>286</v>
      </c>
      <c r="H101" s="45">
        <v>0</v>
      </c>
      <c r="I101" s="45">
        <v>0</v>
      </c>
      <c r="J101" s="45">
        <v>0</v>
      </c>
      <c r="K101" s="45">
        <v>0</v>
      </c>
      <c r="L101" s="45">
        <v>28.000000000000004</v>
      </c>
      <c r="M101" s="45">
        <v>66.080000000000013</v>
      </c>
      <c r="N101" s="45">
        <v>285.60000000000002</v>
      </c>
      <c r="O101" s="45">
        <v>0</v>
      </c>
      <c r="P101" s="37"/>
      <c r="Q101" s="37"/>
      <c r="R101" s="37"/>
      <c r="S101" s="37"/>
      <c r="T101" s="37"/>
      <c r="U101" s="37"/>
      <c r="V101" s="37"/>
      <c r="W101" s="39"/>
      <c r="X101" s="30"/>
      <c r="Y101" s="28"/>
    </row>
    <row r="102" spans="1:25" x14ac:dyDescent="0.35">
      <c r="A102" s="28"/>
      <c r="B102" s="28"/>
      <c r="C102" s="29"/>
      <c r="D102" s="40"/>
      <c r="E102" s="36"/>
      <c r="F102" s="36"/>
      <c r="G102" s="41"/>
      <c r="H102" s="45"/>
      <c r="I102" s="45"/>
      <c r="J102" s="45"/>
      <c r="K102" s="45"/>
      <c r="L102" s="45"/>
      <c r="M102" s="45"/>
      <c r="N102" s="45"/>
      <c r="O102" s="45"/>
      <c r="P102" s="37"/>
      <c r="Q102" s="37"/>
      <c r="R102" s="37"/>
      <c r="S102" s="37"/>
      <c r="T102" s="37"/>
      <c r="U102" s="37"/>
      <c r="V102" s="37"/>
      <c r="W102" s="39"/>
      <c r="X102" s="30"/>
      <c r="Y102" s="28"/>
    </row>
    <row r="103" spans="1:25" x14ac:dyDescent="0.35">
      <c r="A103" s="28"/>
      <c r="B103" s="28"/>
      <c r="C103" s="29"/>
      <c r="D103" s="40" t="s">
        <v>272</v>
      </c>
      <c r="E103" s="36"/>
      <c r="F103" s="36" t="s">
        <v>289</v>
      </c>
      <c r="G103" s="41" t="s">
        <v>286</v>
      </c>
      <c r="H103" s="45">
        <v>1</v>
      </c>
      <c r="I103" s="45">
        <v>3</v>
      </c>
      <c r="J103" s="45">
        <v>12</v>
      </c>
      <c r="K103" s="45">
        <v>6</v>
      </c>
      <c r="L103" s="45">
        <v>30</v>
      </c>
      <c r="M103" s="45">
        <v>50</v>
      </c>
      <c r="N103" s="45">
        <v>180</v>
      </c>
      <c r="O103" s="45">
        <v>49</v>
      </c>
      <c r="P103" s="37"/>
      <c r="Q103" s="37"/>
      <c r="R103" s="37"/>
      <c r="S103" s="37"/>
      <c r="T103" s="37"/>
      <c r="U103" s="37"/>
      <c r="V103" s="37"/>
      <c r="W103" s="39"/>
      <c r="X103" s="30"/>
      <c r="Y103" s="28"/>
    </row>
    <row r="104" spans="1:25" x14ac:dyDescent="0.35">
      <c r="A104" s="28"/>
      <c r="B104" s="28"/>
      <c r="C104" s="29"/>
      <c r="D104" s="40" t="s">
        <v>290</v>
      </c>
      <c r="E104" s="36"/>
      <c r="F104" s="36" t="s">
        <v>289</v>
      </c>
      <c r="G104" s="41" t="s">
        <v>286</v>
      </c>
      <c r="H104" s="45">
        <v>1</v>
      </c>
      <c r="I104" s="45">
        <v>3</v>
      </c>
      <c r="J104" s="45">
        <v>12</v>
      </c>
      <c r="K104" s="45">
        <v>6</v>
      </c>
      <c r="L104" s="45">
        <v>40</v>
      </c>
      <c r="M104" s="45">
        <v>60</v>
      </c>
      <c r="N104" s="45">
        <v>210</v>
      </c>
      <c r="O104" s="45">
        <v>49</v>
      </c>
      <c r="P104" s="37"/>
      <c r="Q104" s="37"/>
      <c r="R104" s="37"/>
      <c r="S104" s="37"/>
      <c r="T104" s="37"/>
      <c r="U104" s="37"/>
      <c r="V104" s="37"/>
      <c r="W104" s="39"/>
      <c r="X104" s="30"/>
      <c r="Y104" s="28"/>
    </row>
    <row r="105" spans="1:25" x14ac:dyDescent="0.35">
      <c r="A105" s="28"/>
      <c r="B105" s="28"/>
      <c r="C105" s="29"/>
      <c r="D105" s="40" t="s">
        <v>291</v>
      </c>
      <c r="E105" s="36"/>
      <c r="F105" s="36" t="s">
        <v>289</v>
      </c>
      <c r="G105" s="41" t="s">
        <v>286</v>
      </c>
      <c r="H105" s="45">
        <v>1</v>
      </c>
      <c r="I105" s="45">
        <v>3</v>
      </c>
      <c r="J105" s="45">
        <v>12</v>
      </c>
      <c r="K105" s="45">
        <v>6</v>
      </c>
      <c r="L105" s="45">
        <v>20</v>
      </c>
      <c r="M105" s="45">
        <v>40</v>
      </c>
      <c r="N105" s="45">
        <v>150</v>
      </c>
      <c r="O105" s="45">
        <v>49</v>
      </c>
      <c r="P105" s="37"/>
      <c r="Q105" s="37"/>
      <c r="R105" s="37"/>
      <c r="S105" s="37"/>
      <c r="T105" s="37"/>
      <c r="U105" s="37"/>
      <c r="V105" s="37"/>
      <c r="W105" s="39"/>
      <c r="X105" s="30"/>
      <c r="Y105" s="28"/>
    </row>
    <row r="106" spans="1:25" x14ac:dyDescent="0.35">
      <c r="A106" s="28"/>
      <c r="B106" s="28"/>
      <c r="C106" s="29"/>
      <c r="D106" s="40"/>
      <c r="E106" s="36"/>
      <c r="F106" s="36"/>
      <c r="G106" s="41"/>
      <c r="H106" s="45"/>
      <c r="I106" s="45"/>
      <c r="J106" s="45"/>
      <c r="K106" s="45"/>
      <c r="L106" s="45"/>
      <c r="M106" s="45"/>
      <c r="N106" s="45"/>
      <c r="O106" s="45"/>
      <c r="P106" s="37"/>
      <c r="Q106" s="37"/>
      <c r="R106" s="37"/>
      <c r="S106" s="37"/>
      <c r="T106" s="37"/>
      <c r="U106" s="37"/>
      <c r="V106" s="37"/>
      <c r="W106" s="39"/>
      <c r="X106" s="30"/>
      <c r="Y106" s="28"/>
    </row>
    <row r="107" spans="1:25" x14ac:dyDescent="0.35">
      <c r="A107" s="28"/>
      <c r="B107" s="28"/>
      <c r="C107" s="29"/>
      <c r="D107" s="40" t="s">
        <v>292</v>
      </c>
      <c r="E107" s="36"/>
      <c r="F107" s="36" t="s">
        <v>289</v>
      </c>
      <c r="G107" s="41" t="s">
        <v>286</v>
      </c>
      <c r="H107" s="37">
        <f>H$93*H103</f>
        <v>29.51423769645087</v>
      </c>
      <c r="I107" s="37">
        <f t="shared" ref="I107:O107" si="1">I$93*I103</f>
        <v>70.834170471482082</v>
      </c>
      <c r="J107" s="37">
        <f t="shared" si="1"/>
        <v>212.5025114144463</v>
      </c>
      <c r="K107" s="37">
        <f t="shared" si="1"/>
        <v>90.313567351139667</v>
      </c>
      <c r="L107" s="37">
        <f t="shared" si="1"/>
        <v>311.5818073614318</v>
      </c>
      <c r="M107" s="37">
        <f t="shared" si="1"/>
        <v>327.1608977295034</v>
      </c>
      <c r="N107" s="37">
        <f t="shared" si="1"/>
        <v>365.11156186612578</v>
      </c>
      <c r="O107" s="37">
        <f t="shared" si="1"/>
        <v>57.647058823529413</v>
      </c>
      <c r="P107" s="37"/>
      <c r="Q107" s="37">
        <f>SUM(H107:O107)</f>
        <v>1464.6658127141095</v>
      </c>
      <c r="R107" s="37"/>
      <c r="S107" s="37"/>
      <c r="T107" s="37"/>
      <c r="U107" s="37"/>
      <c r="V107" s="37"/>
      <c r="W107" s="39"/>
      <c r="X107" s="30"/>
      <c r="Y107" s="28"/>
    </row>
    <row r="108" spans="1:25" x14ac:dyDescent="0.35">
      <c r="A108" s="28"/>
      <c r="B108" s="28"/>
      <c r="C108" s="29"/>
      <c r="D108" s="40" t="s">
        <v>293</v>
      </c>
      <c r="E108" s="36"/>
      <c r="F108" s="36" t="s">
        <v>294</v>
      </c>
      <c r="G108" s="41" t="s">
        <v>286</v>
      </c>
      <c r="H108" s="37">
        <f t="shared" ref="H108:O109" si="2">H$93*H104</f>
        <v>29.51423769645087</v>
      </c>
      <c r="I108" s="37">
        <f t="shared" si="2"/>
        <v>70.834170471482082</v>
      </c>
      <c r="J108" s="37">
        <f t="shared" si="2"/>
        <v>212.5025114144463</v>
      </c>
      <c r="K108" s="37">
        <f t="shared" si="2"/>
        <v>90.313567351139667</v>
      </c>
      <c r="L108" s="37">
        <f t="shared" si="2"/>
        <v>415.4424098152424</v>
      </c>
      <c r="M108" s="37">
        <f t="shared" si="2"/>
        <v>392.59307727540408</v>
      </c>
      <c r="N108" s="37">
        <f t="shared" si="2"/>
        <v>425.96348884381342</v>
      </c>
      <c r="O108" s="37">
        <f t="shared" si="2"/>
        <v>57.647058823529413</v>
      </c>
      <c r="P108" s="37"/>
      <c r="Q108" s="37">
        <f>SUM(H108:O108)</f>
        <v>1694.8105216915083</v>
      </c>
      <c r="R108" s="37"/>
      <c r="S108" s="37"/>
      <c r="T108" s="37"/>
      <c r="U108" s="37"/>
      <c r="V108" s="37"/>
      <c r="W108" s="39"/>
      <c r="X108" s="30"/>
      <c r="Y108" s="28"/>
    </row>
    <row r="109" spans="1:25" x14ac:dyDescent="0.35">
      <c r="A109" s="28"/>
      <c r="B109" s="28"/>
      <c r="C109" s="29"/>
      <c r="D109" s="46" t="s">
        <v>295</v>
      </c>
      <c r="E109" s="47"/>
      <c r="F109" s="47" t="s">
        <v>294</v>
      </c>
      <c r="G109" s="48" t="s">
        <v>286</v>
      </c>
      <c r="H109" s="49">
        <f t="shared" si="2"/>
        <v>29.51423769645087</v>
      </c>
      <c r="I109" s="49">
        <f t="shared" si="2"/>
        <v>70.834170471482082</v>
      </c>
      <c r="J109" s="49">
        <f t="shared" si="2"/>
        <v>212.5025114144463</v>
      </c>
      <c r="K109" s="49">
        <f t="shared" si="2"/>
        <v>90.313567351139667</v>
      </c>
      <c r="L109" s="49">
        <f t="shared" si="2"/>
        <v>207.7212049076212</v>
      </c>
      <c r="M109" s="49">
        <f t="shared" si="2"/>
        <v>261.72871818360272</v>
      </c>
      <c r="N109" s="49">
        <f t="shared" si="2"/>
        <v>304.25963488843814</v>
      </c>
      <c r="O109" s="49">
        <f t="shared" si="2"/>
        <v>57.647058823529413</v>
      </c>
      <c r="P109" s="49"/>
      <c r="Q109" s="49">
        <f>SUM(H109:O109)</f>
        <v>1234.5211037367105</v>
      </c>
      <c r="R109" s="49"/>
      <c r="S109" s="49"/>
      <c r="T109" s="49"/>
      <c r="U109" s="49"/>
      <c r="V109" s="49"/>
      <c r="W109" s="50"/>
      <c r="X109" s="30"/>
      <c r="Y109" s="28"/>
    </row>
    <row r="110" spans="1:25" x14ac:dyDescent="0.35">
      <c r="A110" s="28"/>
      <c r="B110" s="28"/>
      <c r="C110" s="29"/>
      <c r="D110" s="36"/>
      <c r="E110" s="36"/>
      <c r="F110" s="36"/>
      <c r="G110" s="36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0"/>
      <c r="Y110" s="28"/>
    </row>
    <row r="111" spans="1:25" ht="13.15" x14ac:dyDescent="0.4">
      <c r="A111" s="28"/>
      <c r="B111" s="28"/>
      <c r="C111" s="29"/>
      <c r="D111" s="68" t="s">
        <v>277</v>
      </c>
      <c r="E111" s="66"/>
      <c r="F111" s="66"/>
      <c r="G111" s="66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3"/>
      <c r="X111" s="30"/>
      <c r="Y111" s="28"/>
    </row>
    <row r="112" spans="1:25" x14ac:dyDescent="0.35">
      <c r="A112" s="28"/>
      <c r="B112" s="28"/>
      <c r="C112" s="29"/>
      <c r="D112" s="40" t="s">
        <v>296</v>
      </c>
      <c r="E112" s="36"/>
      <c r="F112" s="36"/>
      <c r="G112" s="41" t="s">
        <v>297</v>
      </c>
      <c r="H112" s="51">
        <v>1</v>
      </c>
      <c r="I112" s="51">
        <v>1.5</v>
      </c>
      <c r="J112" s="51">
        <v>2</v>
      </c>
      <c r="K112" s="51">
        <v>1</v>
      </c>
      <c r="L112" s="51">
        <v>1.5</v>
      </c>
      <c r="M112" s="51">
        <v>2.5</v>
      </c>
      <c r="N112" s="51">
        <v>3</v>
      </c>
      <c r="O112" s="51">
        <v>1.5</v>
      </c>
      <c r="P112" s="37"/>
      <c r="Q112" s="37"/>
      <c r="R112" s="37"/>
      <c r="S112" s="37"/>
      <c r="T112" s="37"/>
      <c r="U112" s="37"/>
      <c r="V112" s="37"/>
      <c r="W112" s="39"/>
      <c r="X112" s="30"/>
      <c r="Y112" s="28"/>
    </row>
    <row r="113" spans="1:25" x14ac:dyDescent="0.35">
      <c r="A113" s="28"/>
      <c r="B113" s="28"/>
      <c r="C113" s="29"/>
      <c r="D113" s="40" t="s">
        <v>298</v>
      </c>
      <c r="E113" s="36"/>
      <c r="F113" s="36"/>
      <c r="G113" s="52">
        <v>0.1</v>
      </c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9"/>
      <c r="X113" s="30"/>
      <c r="Y113" s="28"/>
    </row>
    <row r="114" spans="1:25" x14ac:dyDescent="0.35">
      <c r="A114" s="28"/>
      <c r="B114" s="28"/>
      <c r="C114" s="29"/>
      <c r="D114" s="35"/>
      <c r="E114" s="36"/>
      <c r="F114" s="36"/>
      <c r="G114" s="36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9"/>
      <c r="X114" s="30"/>
      <c r="Y114" s="28"/>
    </row>
    <row r="115" spans="1:25" ht="13.15" x14ac:dyDescent="0.35">
      <c r="A115" s="28"/>
      <c r="B115" s="28"/>
      <c r="C115" s="29"/>
      <c r="D115" s="35"/>
      <c r="E115" s="36"/>
      <c r="F115" s="37"/>
      <c r="G115" s="37"/>
      <c r="H115" s="53">
        <v>1</v>
      </c>
      <c r="I115" s="53">
        <v>2</v>
      </c>
      <c r="J115" s="53">
        <v>3</v>
      </c>
      <c r="K115" s="53">
        <v>4</v>
      </c>
      <c r="L115" s="53">
        <v>5</v>
      </c>
      <c r="M115" s="53">
        <v>6</v>
      </c>
      <c r="N115" s="53">
        <v>7</v>
      </c>
      <c r="O115" s="53">
        <v>8</v>
      </c>
      <c r="P115" s="53">
        <v>9</v>
      </c>
      <c r="Q115" s="53">
        <v>10</v>
      </c>
      <c r="R115" s="53">
        <v>11</v>
      </c>
      <c r="S115" s="53">
        <v>12</v>
      </c>
      <c r="T115" s="53">
        <v>13</v>
      </c>
      <c r="U115" s="53">
        <v>14</v>
      </c>
      <c r="V115" s="54"/>
      <c r="W115" s="55" t="s">
        <v>29</v>
      </c>
      <c r="X115" s="30"/>
      <c r="Y115" s="28"/>
    </row>
    <row r="116" spans="1:25" x14ac:dyDescent="0.35">
      <c r="A116" s="28"/>
      <c r="B116" s="28"/>
      <c r="C116" s="29"/>
      <c r="D116" s="40" t="s">
        <v>266</v>
      </c>
      <c r="E116" s="36"/>
      <c r="F116" s="36"/>
      <c r="G116" s="36"/>
      <c r="H116" s="56">
        <f>H107/H112</f>
        <v>29.51423769645087</v>
      </c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5">
        <f>SUM(H116:U116)</f>
        <v>29.51423769645087</v>
      </c>
      <c r="X116" s="30"/>
      <c r="Y116" s="28"/>
    </row>
    <row r="117" spans="1:25" x14ac:dyDescent="0.35">
      <c r="A117" s="28"/>
      <c r="B117" s="28"/>
      <c r="C117" s="29"/>
      <c r="D117" s="40" t="s">
        <v>267</v>
      </c>
      <c r="E117" s="36"/>
      <c r="F117" s="36"/>
      <c r="G117" s="36"/>
      <c r="H117" s="56"/>
      <c r="I117" s="56">
        <f>I107*(2/3)</f>
        <v>47.222780314321383</v>
      </c>
      <c r="J117" s="56">
        <f>I107*(1/3)</f>
        <v>23.611390157160692</v>
      </c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5">
        <f>SUM(H117:U117)</f>
        <v>70.834170471482082</v>
      </c>
      <c r="X117" s="30"/>
      <c r="Y117" s="28"/>
    </row>
    <row r="118" spans="1:25" x14ac:dyDescent="0.35">
      <c r="A118" s="28"/>
      <c r="B118" s="28"/>
      <c r="C118" s="29"/>
      <c r="D118" s="40" t="s">
        <v>278</v>
      </c>
      <c r="E118" s="36"/>
      <c r="F118" s="36"/>
      <c r="G118" s="57"/>
      <c r="H118" s="56"/>
      <c r="I118" s="56"/>
      <c r="J118" s="56">
        <f>J107*1/4</f>
        <v>53.125627853611576</v>
      </c>
      <c r="K118" s="56">
        <f>J107*1/2</f>
        <v>106.25125570722315</v>
      </c>
      <c r="L118" s="56">
        <f>J107*1/4</f>
        <v>53.125627853611576</v>
      </c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5">
        <f>SUM(H118:U118)</f>
        <v>212.5025114144463</v>
      </c>
      <c r="X118" s="30"/>
      <c r="Y118" s="28"/>
    </row>
    <row r="119" spans="1:25" x14ac:dyDescent="0.35">
      <c r="A119" s="28"/>
      <c r="B119" s="28"/>
      <c r="C119" s="29"/>
      <c r="D119" s="40" t="s">
        <v>25</v>
      </c>
      <c r="E119" s="36"/>
      <c r="F119" s="36"/>
      <c r="G119" s="36"/>
      <c r="H119" s="56"/>
      <c r="I119" s="56"/>
      <c r="J119" s="56"/>
      <c r="K119" s="56"/>
      <c r="L119" s="56">
        <f>K107*1/2</f>
        <v>45.156783675569834</v>
      </c>
      <c r="M119" s="56">
        <f>K107*1/2</f>
        <v>45.156783675569834</v>
      </c>
      <c r="N119" s="56"/>
      <c r="O119" s="56"/>
      <c r="P119" s="56"/>
      <c r="Q119" s="56"/>
      <c r="R119" s="56"/>
      <c r="S119" s="56"/>
      <c r="T119" s="56"/>
      <c r="U119" s="56"/>
      <c r="V119" s="56"/>
      <c r="W119" s="55">
        <f>SUM(H119:U119)</f>
        <v>90.313567351139667</v>
      </c>
      <c r="X119" s="30"/>
      <c r="Y119" s="28"/>
    </row>
    <row r="120" spans="1:25" x14ac:dyDescent="0.35">
      <c r="A120" s="28"/>
      <c r="B120" s="28"/>
      <c r="C120" s="29"/>
      <c r="D120" s="40" t="s">
        <v>45</v>
      </c>
      <c r="E120" s="36"/>
      <c r="F120" s="36"/>
      <c r="G120" s="36"/>
      <c r="H120" s="56"/>
      <c r="I120" s="56"/>
      <c r="J120" s="56"/>
      <c r="K120" s="56"/>
      <c r="L120" s="56"/>
      <c r="M120" s="56">
        <f>L107*1/3</f>
        <v>103.8606024538106</v>
      </c>
      <c r="N120" s="56">
        <f>L107*2/3</f>
        <v>207.7212049076212</v>
      </c>
      <c r="O120" s="56"/>
      <c r="P120" s="56"/>
      <c r="Q120" s="56"/>
      <c r="R120" s="56"/>
      <c r="S120" s="56"/>
      <c r="T120" s="56"/>
      <c r="U120" s="56"/>
      <c r="V120" s="56"/>
      <c r="W120" s="55">
        <f t="shared" ref="W120:W122" si="3">SUM(H120:U120)</f>
        <v>311.5818073614318</v>
      </c>
      <c r="X120" s="30"/>
      <c r="Y120" s="28"/>
    </row>
    <row r="121" spans="1:25" x14ac:dyDescent="0.35">
      <c r="A121" s="28"/>
      <c r="B121" s="28"/>
      <c r="C121" s="29"/>
      <c r="D121" s="40" t="s">
        <v>46</v>
      </c>
      <c r="E121" s="36"/>
      <c r="F121" s="36"/>
      <c r="G121" s="36"/>
      <c r="H121" s="56"/>
      <c r="I121" s="56"/>
      <c r="J121" s="56"/>
      <c r="K121" s="56"/>
      <c r="L121" s="56"/>
      <c r="M121" s="56"/>
      <c r="N121" s="56"/>
      <c r="O121" s="56">
        <f>M107*2/5</f>
        <v>130.86435909180136</v>
      </c>
      <c r="P121" s="56">
        <f>M107*2/5</f>
        <v>130.86435909180136</v>
      </c>
      <c r="Q121" s="56">
        <f>M107*1/5</f>
        <v>65.432179545900681</v>
      </c>
      <c r="R121" s="56"/>
      <c r="S121" s="56"/>
      <c r="T121" s="56"/>
      <c r="U121" s="56"/>
      <c r="V121" s="56"/>
      <c r="W121" s="55">
        <f t="shared" si="3"/>
        <v>327.1608977295034</v>
      </c>
      <c r="X121" s="30"/>
      <c r="Y121" s="28"/>
    </row>
    <row r="122" spans="1:25" x14ac:dyDescent="0.35">
      <c r="A122" s="28"/>
      <c r="B122" s="28"/>
      <c r="C122" s="29"/>
      <c r="D122" s="40" t="s">
        <v>47</v>
      </c>
      <c r="E122" s="36"/>
      <c r="F122" s="36"/>
      <c r="G122" s="36"/>
      <c r="H122" s="56"/>
      <c r="I122" s="56"/>
      <c r="J122" s="56"/>
      <c r="K122" s="56"/>
      <c r="L122" s="56"/>
      <c r="M122" s="56"/>
      <c r="N122" s="56"/>
      <c r="O122" s="56"/>
      <c r="P122" s="56"/>
      <c r="Q122" s="56">
        <f>N107*1/6</f>
        <v>60.851926977687633</v>
      </c>
      <c r="R122" s="56">
        <f>N107*2/6</f>
        <v>121.70385395537527</v>
      </c>
      <c r="S122" s="56">
        <f>N107*2/6</f>
        <v>121.70385395537527</v>
      </c>
      <c r="T122" s="56">
        <f>N107*1/6</f>
        <v>60.851926977687633</v>
      </c>
      <c r="U122" s="56"/>
      <c r="V122" s="56"/>
      <c r="W122" s="55">
        <f t="shared" si="3"/>
        <v>365.11156186612578</v>
      </c>
      <c r="X122" s="30"/>
      <c r="Y122" s="28"/>
    </row>
    <row r="123" spans="1:25" x14ac:dyDescent="0.35">
      <c r="A123" s="28"/>
      <c r="B123" s="28"/>
      <c r="C123" s="29"/>
      <c r="D123" s="40" t="s">
        <v>270</v>
      </c>
      <c r="E123" s="36"/>
      <c r="F123" s="36"/>
      <c r="G123" s="3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>
        <f>O107*1/3</f>
        <v>19.215686274509803</v>
      </c>
      <c r="U123" s="56">
        <f>O107*2/3</f>
        <v>38.431372549019606</v>
      </c>
      <c r="V123" s="56"/>
      <c r="W123" s="55">
        <f>SUM(H123:U123)</f>
        <v>57.647058823529406</v>
      </c>
      <c r="X123" s="30"/>
      <c r="Y123" s="28"/>
    </row>
    <row r="124" spans="1:25" ht="13.15" x14ac:dyDescent="0.4">
      <c r="A124" s="28"/>
      <c r="B124" s="28"/>
      <c r="C124" s="29"/>
      <c r="D124" s="58"/>
      <c r="E124" s="59"/>
      <c r="F124" s="59"/>
      <c r="G124" s="59"/>
      <c r="H124" s="60">
        <f>SUM(H116:H123)</f>
        <v>29.51423769645087</v>
      </c>
      <c r="I124" s="60">
        <f t="shared" ref="I124:U124" si="4">SUM(I116:I123)</f>
        <v>47.222780314321383</v>
      </c>
      <c r="J124" s="60">
        <f t="shared" si="4"/>
        <v>76.73701801077226</v>
      </c>
      <c r="K124" s="60">
        <f t="shared" si="4"/>
        <v>106.25125570722315</v>
      </c>
      <c r="L124" s="60">
        <f t="shared" si="4"/>
        <v>98.282411529181417</v>
      </c>
      <c r="M124" s="60">
        <f t="shared" si="4"/>
        <v>149.01738612938044</v>
      </c>
      <c r="N124" s="60">
        <f t="shared" si="4"/>
        <v>207.7212049076212</v>
      </c>
      <c r="O124" s="60">
        <f t="shared" si="4"/>
        <v>130.86435909180136</v>
      </c>
      <c r="P124" s="60">
        <f t="shared" si="4"/>
        <v>130.86435909180136</v>
      </c>
      <c r="Q124" s="60">
        <f t="shared" si="4"/>
        <v>126.28410652358832</v>
      </c>
      <c r="R124" s="60">
        <f t="shared" si="4"/>
        <v>121.70385395537527</v>
      </c>
      <c r="S124" s="60">
        <f t="shared" si="4"/>
        <v>121.70385395537527</v>
      </c>
      <c r="T124" s="60">
        <f t="shared" si="4"/>
        <v>80.067613252197432</v>
      </c>
      <c r="U124" s="60">
        <f t="shared" si="4"/>
        <v>38.431372549019606</v>
      </c>
      <c r="V124" s="56"/>
      <c r="W124" s="61">
        <f>SUM(W116:W123)</f>
        <v>1464.6658127141095</v>
      </c>
      <c r="X124" s="30"/>
      <c r="Y124" s="28"/>
    </row>
    <row r="125" spans="1:25" x14ac:dyDescent="0.35">
      <c r="A125" s="28"/>
      <c r="B125" s="28"/>
      <c r="C125" s="29"/>
      <c r="D125" s="35"/>
      <c r="E125" s="36"/>
      <c r="F125" s="36"/>
      <c r="G125" s="36"/>
      <c r="H125" s="37"/>
      <c r="I125" s="37"/>
      <c r="J125" s="62"/>
      <c r="K125" s="37"/>
      <c r="L125" s="63"/>
      <c r="M125" s="37"/>
      <c r="N125" s="37"/>
      <c r="O125" s="37"/>
      <c r="P125" s="37"/>
      <c r="Q125" s="37"/>
      <c r="R125" s="37"/>
      <c r="S125" s="37"/>
      <c r="T125" s="37"/>
      <c r="U125" s="37"/>
      <c r="V125" s="56"/>
      <c r="W125" s="39"/>
      <c r="X125" s="30"/>
      <c r="Y125" s="28"/>
    </row>
    <row r="126" spans="1:25" ht="13.15" x14ac:dyDescent="0.35">
      <c r="A126" s="28"/>
      <c r="B126" s="28"/>
      <c r="C126" s="29"/>
      <c r="D126" s="46" t="s">
        <v>299</v>
      </c>
      <c r="E126" s="47"/>
      <c r="F126" s="47"/>
      <c r="G126" s="47"/>
      <c r="H126" s="49">
        <f t="shared" ref="H126:U126" si="5">H124*((1+$G$113)^($U$115-H115))</f>
        <v>101.89115321421315</v>
      </c>
      <c r="I126" s="49">
        <f t="shared" si="5"/>
        <v>148.20531376612817</v>
      </c>
      <c r="J126" s="49">
        <f t="shared" si="5"/>
        <v>218.93966806359848</v>
      </c>
      <c r="K126" s="49">
        <f t="shared" si="5"/>
        <v>275.58839336676732</v>
      </c>
      <c r="L126" s="49">
        <f t="shared" si="5"/>
        <v>231.74478533114524</v>
      </c>
      <c r="M126" s="49">
        <f t="shared" si="5"/>
        <v>319.43200140238929</v>
      </c>
      <c r="N126" s="49">
        <f t="shared" si="5"/>
        <v>404.78986403608559</v>
      </c>
      <c r="O126" s="49">
        <f t="shared" si="5"/>
        <v>231.83419485703081</v>
      </c>
      <c r="P126" s="49">
        <f t="shared" si="5"/>
        <v>210.75835896093707</v>
      </c>
      <c r="Q126" s="49">
        <f t="shared" si="5"/>
        <v>184.8925603611857</v>
      </c>
      <c r="R126" s="49">
        <f t="shared" si="5"/>
        <v>161.98782961460452</v>
      </c>
      <c r="S126" s="49">
        <f t="shared" si="5"/>
        <v>147.26166328600411</v>
      </c>
      <c r="T126" s="49">
        <f t="shared" si="5"/>
        <v>88.074374577417188</v>
      </c>
      <c r="U126" s="49">
        <f t="shared" si="5"/>
        <v>38.431372549019606</v>
      </c>
      <c r="V126" s="49"/>
      <c r="W126" s="64">
        <f>SUM(H126:U126)</f>
        <v>2763.8315333865257</v>
      </c>
      <c r="X126" s="30"/>
      <c r="Y126" s="28"/>
    </row>
    <row r="127" spans="1:25" x14ac:dyDescent="0.35">
      <c r="A127" s="28"/>
      <c r="B127" s="28"/>
      <c r="C127" s="29"/>
      <c r="D127" s="36"/>
      <c r="E127" s="36"/>
      <c r="F127" s="36"/>
      <c r="G127" s="36"/>
      <c r="H127" s="37"/>
      <c r="I127" s="37"/>
      <c r="J127" s="62"/>
      <c r="K127" s="37"/>
      <c r="L127" s="63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0"/>
      <c r="Y127" s="28"/>
    </row>
    <row r="128" spans="1:25" x14ac:dyDescent="0.35">
      <c r="A128" s="28"/>
      <c r="B128" s="28"/>
      <c r="C128" s="29"/>
      <c r="D128" s="36"/>
      <c r="E128" s="36"/>
      <c r="F128" s="36"/>
      <c r="G128" s="36"/>
      <c r="H128" s="37"/>
      <c r="I128" s="37"/>
      <c r="J128" s="62"/>
      <c r="K128" s="37"/>
      <c r="L128" s="63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0"/>
      <c r="Y128" s="28"/>
    </row>
    <row r="129" spans="1:25" ht="13.15" x14ac:dyDescent="0.4">
      <c r="A129" s="28"/>
      <c r="B129" s="28"/>
      <c r="C129" s="29"/>
      <c r="D129" s="68" t="s">
        <v>300</v>
      </c>
      <c r="E129" s="66"/>
      <c r="F129" s="66"/>
      <c r="G129" s="66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3"/>
      <c r="X129" s="30"/>
      <c r="Y129" s="28"/>
    </row>
    <row r="130" spans="1:25" x14ac:dyDescent="0.35">
      <c r="A130" s="28"/>
      <c r="B130" s="28"/>
      <c r="C130" s="29"/>
      <c r="D130" s="40" t="s">
        <v>296</v>
      </c>
      <c r="E130" s="36"/>
      <c r="F130" s="36"/>
      <c r="G130" s="41" t="s">
        <v>297</v>
      </c>
      <c r="H130" s="51">
        <v>1</v>
      </c>
      <c r="I130" s="51">
        <v>1.5</v>
      </c>
      <c r="J130" s="51">
        <v>2</v>
      </c>
      <c r="K130" s="51">
        <v>1</v>
      </c>
      <c r="L130" s="51">
        <v>1.5</v>
      </c>
      <c r="M130" s="51">
        <v>2.5</v>
      </c>
      <c r="N130" s="51">
        <v>3</v>
      </c>
      <c r="O130" s="51">
        <v>1.5</v>
      </c>
      <c r="P130" s="37"/>
      <c r="Q130" s="37"/>
      <c r="R130" s="37"/>
      <c r="S130" s="37"/>
      <c r="T130" s="37"/>
      <c r="U130" s="37"/>
      <c r="V130" s="37"/>
      <c r="W130" s="39"/>
      <c r="X130" s="30"/>
      <c r="Y130" s="28"/>
    </row>
    <row r="131" spans="1:25" x14ac:dyDescent="0.35">
      <c r="A131" s="28"/>
      <c r="B131" s="28"/>
      <c r="C131" s="29"/>
      <c r="D131" s="40" t="s">
        <v>298</v>
      </c>
      <c r="E131" s="36"/>
      <c r="F131" s="36"/>
      <c r="G131" s="52">
        <v>0.1</v>
      </c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9"/>
      <c r="X131" s="30"/>
      <c r="Y131" s="28"/>
    </row>
    <row r="132" spans="1:25" x14ac:dyDescent="0.35">
      <c r="A132" s="28"/>
      <c r="B132" s="28"/>
      <c r="C132" s="29"/>
      <c r="D132" s="35"/>
      <c r="E132" s="36"/>
      <c r="F132" s="36"/>
      <c r="G132" s="36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9"/>
      <c r="X132" s="30"/>
      <c r="Y132" s="28"/>
    </row>
    <row r="133" spans="1:25" ht="13.15" x14ac:dyDescent="0.35">
      <c r="A133" s="28"/>
      <c r="B133" s="28"/>
      <c r="C133" s="29"/>
      <c r="D133" s="35"/>
      <c r="E133" s="36"/>
      <c r="F133" s="37"/>
      <c r="G133" s="37"/>
      <c r="H133" s="53">
        <v>1</v>
      </c>
      <c r="I133" s="53">
        <v>2</v>
      </c>
      <c r="J133" s="53">
        <v>3</v>
      </c>
      <c r="K133" s="53">
        <v>4</v>
      </c>
      <c r="L133" s="53">
        <v>5</v>
      </c>
      <c r="M133" s="53">
        <v>6</v>
      </c>
      <c r="N133" s="53">
        <v>7</v>
      </c>
      <c r="O133" s="53">
        <v>8</v>
      </c>
      <c r="P133" s="53">
        <v>9</v>
      </c>
      <c r="Q133" s="53">
        <v>10</v>
      </c>
      <c r="R133" s="53">
        <v>11</v>
      </c>
      <c r="S133" s="53">
        <v>12</v>
      </c>
      <c r="T133" s="53">
        <v>13</v>
      </c>
      <c r="U133" s="53">
        <v>14</v>
      </c>
      <c r="V133" s="54"/>
      <c r="W133" s="55" t="s">
        <v>29</v>
      </c>
      <c r="X133" s="30"/>
      <c r="Y133" s="28"/>
    </row>
    <row r="134" spans="1:25" x14ac:dyDescent="0.35">
      <c r="A134" s="28"/>
      <c r="B134" s="28"/>
      <c r="C134" s="29"/>
      <c r="D134" s="40" t="s">
        <v>266</v>
      </c>
      <c r="E134" s="36"/>
      <c r="F134" s="36"/>
      <c r="G134" s="36"/>
      <c r="H134" s="56">
        <f>H108/H130</f>
        <v>29.51423769645087</v>
      </c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5">
        <f>SUM(H134:U134)</f>
        <v>29.51423769645087</v>
      </c>
      <c r="X134" s="30"/>
      <c r="Y134" s="28"/>
    </row>
    <row r="135" spans="1:25" x14ac:dyDescent="0.35">
      <c r="A135" s="28"/>
      <c r="B135" s="28"/>
      <c r="C135" s="29"/>
      <c r="D135" s="40" t="s">
        <v>267</v>
      </c>
      <c r="E135" s="36"/>
      <c r="F135" s="36"/>
      <c r="G135" s="36"/>
      <c r="H135" s="56"/>
      <c r="I135" s="56">
        <f>I108*(2/3)</f>
        <v>47.222780314321383</v>
      </c>
      <c r="J135" s="56">
        <f>I108*(1/3)</f>
        <v>23.611390157160692</v>
      </c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5">
        <f>SUM(H135:U135)</f>
        <v>70.834170471482082</v>
      </c>
      <c r="X135" s="30"/>
      <c r="Y135" s="28"/>
    </row>
    <row r="136" spans="1:25" x14ac:dyDescent="0.35">
      <c r="A136" s="28"/>
      <c r="B136" s="28"/>
      <c r="C136" s="29"/>
      <c r="D136" s="40" t="s">
        <v>278</v>
      </c>
      <c r="E136" s="36"/>
      <c r="F136" s="36"/>
      <c r="G136" s="57"/>
      <c r="H136" s="56"/>
      <c r="I136" s="56"/>
      <c r="J136" s="56">
        <f>J108*1/4</f>
        <v>53.125627853611576</v>
      </c>
      <c r="K136" s="56">
        <f>J108*1/2</f>
        <v>106.25125570722315</v>
      </c>
      <c r="L136" s="56">
        <f>J108*1/4</f>
        <v>53.125627853611576</v>
      </c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5">
        <f>SUM(H136:U136)</f>
        <v>212.5025114144463</v>
      </c>
      <c r="X136" s="30"/>
      <c r="Y136" s="28"/>
    </row>
    <row r="137" spans="1:25" x14ac:dyDescent="0.35">
      <c r="A137" s="28"/>
      <c r="B137" s="28"/>
      <c r="C137" s="29"/>
      <c r="D137" s="40" t="s">
        <v>25</v>
      </c>
      <c r="E137" s="36"/>
      <c r="F137" s="36"/>
      <c r="G137" s="36"/>
      <c r="H137" s="56"/>
      <c r="I137" s="56"/>
      <c r="J137" s="56"/>
      <c r="K137" s="56"/>
      <c r="L137" s="56">
        <f>K108*1/2</f>
        <v>45.156783675569834</v>
      </c>
      <c r="M137" s="56">
        <f>K108*1/2</f>
        <v>45.156783675569834</v>
      </c>
      <c r="N137" s="56"/>
      <c r="O137" s="56"/>
      <c r="P137" s="56"/>
      <c r="Q137" s="56"/>
      <c r="R137" s="56"/>
      <c r="S137" s="56"/>
      <c r="T137" s="56"/>
      <c r="U137" s="56"/>
      <c r="V137" s="56"/>
      <c r="W137" s="55">
        <f>SUM(H137:U137)</f>
        <v>90.313567351139667</v>
      </c>
      <c r="X137" s="30"/>
      <c r="Y137" s="28"/>
    </row>
    <row r="138" spans="1:25" x14ac:dyDescent="0.35">
      <c r="A138" s="28"/>
      <c r="B138" s="28"/>
      <c r="C138" s="29"/>
      <c r="D138" s="40" t="s">
        <v>45</v>
      </c>
      <c r="E138" s="36"/>
      <c r="F138" s="36"/>
      <c r="G138" s="36"/>
      <c r="H138" s="56"/>
      <c r="I138" s="56"/>
      <c r="J138" s="56"/>
      <c r="K138" s="56"/>
      <c r="L138" s="56"/>
      <c r="M138" s="56">
        <f>L108*1/3</f>
        <v>138.48080327174748</v>
      </c>
      <c r="N138" s="56">
        <f>L108*2/3</f>
        <v>276.96160654349495</v>
      </c>
      <c r="O138" s="56"/>
      <c r="P138" s="56"/>
      <c r="Q138" s="56"/>
      <c r="R138" s="56"/>
      <c r="S138" s="56"/>
      <c r="T138" s="56"/>
      <c r="U138" s="56"/>
      <c r="V138" s="56"/>
      <c r="W138" s="55">
        <f t="shared" ref="W138:W140" si="6">SUM(H138:U138)</f>
        <v>415.4424098152424</v>
      </c>
      <c r="X138" s="30"/>
      <c r="Y138" s="28"/>
    </row>
    <row r="139" spans="1:25" x14ac:dyDescent="0.35">
      <c r="A139" s="28"/>
      <c r="B139" s="28"/>
      <c r="C139" s="29"/>
      <c r="D139" s="40" t="s">
        <v>46</v>
      </c>
      <c r="E139" s="36"/>
      <c r="F139" s="36"/>
      <c r="G139" s="36"/>
      <c r="H139" s="56"/>
      <c r="I139" s="56"/>
      <c r="J139" s="56"/>
      <c r="K139" s="56"/>
      <c r="L139" s="56"/>
      <c r="M139" s="56"/>
      <c r="N139" s="56"/>
      <c r="O139" s="56">
        <f>M108*2/5</f>
        <v>157.03723091016164</v>
      </c>
      <c r="P139" s="56">
        <f>M108*2/5</f>
        <v>157.03723091016164</v>
      </c>
      <c r="Q139" s="56">
        <f>M108*1/5</f>
        <v>78.51861545508082</v>
      </c>
      <c r="R139" s="56"/>
      <c r="S139" s="56"/>
      <c r="T139" s="56"/>
      <c r="U139" s="56"/>
      <c r="V139" s="56"/>
      <c r="W139" s="55">
        <f t="shared" si="6"/>
        <v>392.59307727540408</v>
      </c>
      <c r="X139" s="30"/>
      <c r="Y139" s="28"/>
    </row>
    <row r="140" spans="1:25" x14ac:dyDescent="0.35">
      <c r="A140" s="28"/>
      <c r="B140" s="28"/>
      <c r="C140" s="29"/>
      <c r="D140" s="40" t="s">
        <v>47</v>
      </c>
      <c r="E140" s="36"/>
      <c r="F140" s="36"/>
      <c r="G140" s="36"/>
      <c r="H140" s="56"/>
      <c r="I140" s="56"/>
      <c r="J140" s="56"/>
      <c r="K140" s="56"/>
      <c r="L140" s="56"/>
      <c r="M140" s="56"/>
      <c r="N140" s="56"/>
      <c r="O140" s="56"/>
      <c r="P140" s="56"/>
      <c r="Q140" s="56">
        <f>N108*1/6</f>
        <v>70.993914807302232</v>
      </c>
      <c r="R140" s="56">
        <f>N108*2/6</f>
        <v>141.98782961460446</v>
      </c>
      <c r="S140" s="56">
        <f>N108*2/6</f>
        <v>141.98782961460446</v>
      </c>
      <c r="T140" s="56">
        <f>N108*1/6</f>
        <v>70.993914807302232</v>
      </c>
      <c r="U140" s="56"/>
      <c r="V140" s="56"/>
      <c r="W140" s="55">
        <f t="shared" si="6"/>
        <v>425.96348884381342</v>
      </c>
      <c r="X140" s="30"/>
      <c r="Y140" s="28"/>
    </row>
    <row r="141" spans="1:25" x14ac:dyDescent="0.35">
      <c r="A141" s="28"/>
      <c r="B141" s="28"/>
      <c r="C141" s="29"/>
      <c r="D141" s="40" t="s">
        <v>270</v>
      </c>
      <c r="E141" s="36"/>
      <c r="F141" s="36"/>
      <c r="G141" s="3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>
        <f>O108*1/3</f>
        <v>19.215686274509803</v>
      </c>
      <c r="U141" s="56">
        <f>O108*2/3</f>
        <v>38.431372549019606</v>
      </c>
      <c r="V141" s="56"/>
      <c r="W141" s="55">
        <f>SUM(H141:U141)</f>
        <v>57.647058823529406</v>
      </c>
      <c r="X141" s="30"/>
      <c r="Y141" s="28"/>
    </row>
    <row r="142" spans="1:25" ht="13.15" x14ac:dyDescent="0.4">
      <c r="A142" s="28"/>
      <c r="B142" s="28"/>
      <c r="C142" s="29"/>
      <c r="D142" s="58"/>
      <c r="E142" s="59"/>
      <c r="F142" s="59"/>
      <c r="G142" s="59"/>
      <c r="H142" s="60">
        <f>SUM(H134:H141)</f>
        <v>29.51423769645087</v>
      </c>
      <c r="I142" s="60">
        <f t="shared" ref="I142:U142" si="7">SUM(I134:I141)</f>
        <v>47.222780314321383</v>
      </c>
      <c r="J142" s="60">
        <f t="shared" si="7"/>
        <v>76.73701801077226</v>
      </c>
      <c r="K142" s="60">
        <f t="shared" si="7"/>
        <v>106.25125570722315</v>
      </c>
      <c r="L142" s="60">
        <f t="shared" si="7"/>
        <v>98.282411529181417</v>
      </c>
      <c r="M142" s="60">
        <f t="shared" si="7"/>
        <v>183.63758694731732</v>
      </c>
      <c r="N142" s="60">
        <f t="shared" si="7"/>
        <v>276.96160654349495</v>
      </c>
      <c r="O142" s="60">
        <f t="shared" si="7"/>
        <v>157.03723091016164</v>
      </c>
      <c r="P142" s="60">
        <f t="shared" si="7"/>
        <v>157.03723091016164</v>
      </c>
      <c r="Q142" s="60">
        <f t="shared" si="7"/>
        <v>149.51253026238305</v>
      </c>
      <c r="R142" s="60">
        <f t="shared" si="7"/>
        <v>141.98782961460446</v>
      </c>
      <c r="S142" s="60">
        <f t="shared" si="7"/>
        <v>141.98782961460446</v>
      </c>
      <c r="T142" s="60">
        <f t="shared" si="7"/>
        <v>90.209601081812039</v>
      </c>
      <c r="U142" s="60">
        <f t="shared" si="7"/>
        <v>38.431372549019606</v>
      </c>
      <c r="V142" s="56"/>
      <c r="W142" s="61">
        <f>SUM(W134:W141)</f>
        <v>1694.8105216915083</v>
      </c>
      <c r="X142" s="30"/>
      <c r="Y142" s="28"/>
    </row>
    <row r="143" spans="1:25" x14ac:dyDescent="0.35">
      <c r="A143" s="28"/>
      <c r="B143" s="28"/>
      <c r="C143" s="29"/>
      <c r="D143" s="35"/>
      <c r="E143" s="36"/>
      <c r="F143" s="36"/>
      <c r="G143" s="36"/>
      <c r="H143" s="37"/>
      <c r="I143" s="37"/>
      <c r="J143" s="62"/>
      <c r="K143" s="37"/>
      <c r="L143" s="63"/>
      <c r="M143" s="37"/>
      <c r="N143" s="37"/>
      <c r="O143" s="37"/>
      <c r="P143" s="37"/>
      <c r="Q143" s="37"/>
      <c r="R143" s="37"/>
      <c r="S143" s="37"/>
      <c r="T143" s="37"/>
      <c r="U143" s="37"/>
      <c r="V143" s="56"/>
      <c r="W143" s="39"/>
      <c r="X143" s="30"/>
      <c r="Y143" s="28"/>
    </row>
    <row r="144" spans="1:25" ht="13.15" x14ac:dyDescent="0.35">
      <c r="A144" s="28"/>
      <c r="B144" s="28"/>
      <c r="C144" s="29"/>
      <c r="D144" s="46" t="s">
        <v>301</v>
      </c>
      <c r="E144" s="47"/>
      <c r="F144" s="47"/>
      <c r="G144" s="47"/>
      <c r="H144" s="49">
        <f t="shared" ref="H144:U144" si="8">H142*((1+$G$131)^($U$133-H133))</f>
        <v>101.89115321421315</v>
      </c>
      <c r="I144" s="49">
        <f t="shared" si="8"/>
        <v>148.20531376612817</v>
      </c>
      <c r="J144" s="49">
        <f t="shared" si="8"/>
        <v>218.93966806359848</v>
      </c>
      <c r="K144" s="49">
        <f t="shared" si="8"/>
        <v>275.58839336676732</v>
      </c>
      <c r="L144" s="49">
        <f t="shared" si="8"/>
        <v>231.74478533114524</v>
      </c>
      <c r="M144" s="49">
        <f t="shared" si="8"/>
        <v>393.64347647567166</v>
      </c>
      <c r="N144" s="49">
        <f t="shared" si="8"/>
        <v>539.71981871478079</v>
      </c>
      <c r="O144" s="49">
        <f t="shared" si="8"/>
        <v>278.20103382843701</v>
      </c>
      <c r="P144" s="49">
        <f t="shared" si="8"/>
        <v>252.91003075312452</v>
      </c>
      <c r="Q144" s="49">
        <f t="shared" si="8"/>
        <v>218.90129555715509</v>
      </c>
      <c r="R144" s="49">
        <f t="shared" si="8"/>
        <v>188.98580121703861</v>
      </c>
      <c r="S144" s="49">
        <f t="shared" si="8"/>
        <v>171.80527383367144</v>
      </c>
      <c r="T144" s="49">
        <f t="shared" si="8"/>
        <v>99.230561189993253</v>
      </c>
      <c r="U144" s="49">
        <f t="shared" si="8"/>
        <v>38.431372549019606</v>
      </c>
      <c r="V144" s="49"/>
      <c r="W144" s="64">
        <f>SUM(H144:U144)</f>
        <v>3158.1979778607442</v>
      </c>
      <c r="X144" s="30"/>
      <c r="Y144" s="28"/>
    </row>
    <row r="145" spans="1:25" x14ac:dyDescent="0.35">
      <c r="A145" s="28"/>
      <c r="B145" s="28"/>
      <c r="C145" s="29"/>
      <c r="D145" s="36"/>
      <c r="E145" s="36"/>
      <c r="F145" s="36"/>
      <c r="G145" s="36"/>
      <c r="H145" s="37"/>
      <c r="I145" s="37"/>
      <c r="J145" s="62"/>
      <c r="K145" s="37"/>
      <c r="L145" s="63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0"/>
      <c r="Y145" s="28"/>
    </row>
    <row r="146" spans="1:25" x14ac:dyDescent="0.35">
      <c r="A146" s="28"/>
      <c r="B146" s="28"/>
      <c r="C146" s="29"/>
      <c r="D146" s="36"/>
      <c r="E146" s="36"/>
      <c r="F146" s="36"/>
      <c r="G146" s="36"/>
      <c r="H146" s="37"/>
      <c r="I146" s="37"/>
      <c r="J146" s="62"/>
      <c r="K146" s="37"/>
      <c r="L146" s="63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0"/>
      <c r="Y146" s="28"/>
    </row>
    <row r="147" spans="1:25" ht="13.15" x14ac:dyDescent="0.4">
      <c r="A147" s="28"/>
      <c r="B147" s="28"/>
      <c r="C147" s="29"/>
      <c r="D147" s="68" t="s">
        <v>302</v>
      </c>
      <c r="E147" s="66"/>
      <c r="F147" s="66"/>
      <c r="G147" s="66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3"/>
      <c r="X147" s="30"/>
      <c r="Y147" s="28"/>
    </row>
    <row r="148" spans="1:25" x14ac:dyDescent="0.35">
      <c r="A148" s="28"/>
      <c r="B148" s="28"/>
      <c r="C148" s="29"/>
      <c r="D148" s="40" t="s">
        <v>296</v>
      </c>
      <c r="E148" s="36"/>
      <c r="F148" s="36"/>
      <c r="G148" s="41" t="s">
        <v>297</v>
      </c>
      <c r="H148" s="51">
        <v>1</v>
      </c>
      <c r="I148" s="51">
        <v>1.5</v>
      </c>
      <c r="J148" s="51">
        <v>2</v>
      </c>
      <c r="K148" s="51">
        <v>1</v>
      </c>
      <c r="L148" s="51">
        <v>1.5</v>
      </c>
      <c r="M148" s="51">
        <v>2.5</v>
      </c>
      <c r="N148" s="51">
        <v>3</v>
      </c>
      <c r="O148" s="51">
        <v>1.5</v>
      </c>
      <c r="P148" s="37"/>
      <c r="Q148" s="37"/>
      <c r="R148" s="37"/>
      <c r="S148" s="37"/>
      <c r="T148" s="37"/>
      <c r="U148" s="37"/>
      <c r="V148" s="37"/>
      <c r="W148" s="39"/>
      <c r="X148" s="30"/>
      <c r="Y148" s="28"/>
    </row>
    <row r="149" spans="1:25" x14ac:dyDescent="0.35">
      <c r="A149" s="28"/>
      <c r="B149" s="28"/>
      <c r="C149" s="29"/>
      <c r="D149" s="40" t="s">
        <v>298</v>
      </c>
      <c r="E149" s="36"/>
      <c r="F149" s="36"/>
      <c r="G149" s="52">
        <v>0.1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9"/>
      <c r="X149" s="30"/>
      <c r="Y149" s="28"/>
    </row>
    <row r="150" spans="1:25" x14ac:dyDescent="0.35">
      <c r="A150" s="28"/>
      <c r="B150" s="28"/>
      <c r="C150" s="29"/>
      <c r="D150" s="35"/>
      <c r="E150" s="36"/>
      <c r="F150" s="36"/>
      <c r="G150" s="36"/>
      <c r="H150" s="41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9"/>
      <c r="X150" s="30"/>
      <c r="Y150" s="28"/>
    </row>
    <row r="151" spans="1:25" ht="13.15" x14ac:dyDescent="0.35">
      <c r="A151" s="28"/>
      <c r="B151" s="28"/>
      <c r="C151" s="29"/>
      <c r="D151" s="35"/>
      <c r="E151" s="36"/>
      <c r="F151" s="37"/>
      <c r="G151" s="37"/>
      <c r="H151" s="53">
        <v>1</v>
      </c>
      <c r="I151" s="53">
        <v>2</v>
      </c>
      <c r="J151" s="53">
        <v>3</v>
      </c>
      <c r="K151" s="53">
        <v>4</v>
      </c>
      <c r="L151" s="53">
        <v>5</v>
      </c>
      <c r="M151" s="53">
        <v>6</v>
      </c>
      <c r="N151" s="53">
        <v>7</v>
      </c>
      <c r="O151" s="53">
        <v>8</v>
      </c>
      <c r="P151" s="53">
        <v>9</v>
      </c>
      <c r="Q151" s="53">
        <v>10</v>
      </c>
      <c r="R151" s="53">
        <v>11</v>
      </c>
      <c r="S151" s="53">
        <v>12</v>
      </c>
      <c r="T151" s="53">
        <v>13</v>
      </c>
      <c r="U151" s="53">
        <v>14</v>
      </c>
      <c r="V151" s="54"/>
      <c r="W151" s="55" t="s">
        <v>29</v>
      </c>
      <c r="X151" s="30"/>
      <c r="Y151" s="28"/>
    </row>
    <row r="152" spans="1:25" x14ac:dyDescent="0.35">
      <c r="A152" s="28"/>
      <c r="B152" s="28"/>
      <c r="C152" s="29"/>
      <c r="D152" s="40" t="s">
        <v>266</v>
      </c>
      <c r="E152" s="36"/>
      <c r="F152" s="36"/>
      <c r="G152" s="36"/>
      <c r="H152" s="56">
        <f>H109/H148</f>
        <v>29.51423769645087</v>
      </c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5">
        <f>SUM(H152:U152)</f>
        <v>29.51423769645087</v>
      </c>
      <c r="X152" s="30"/>
      <c r="Y152" s="28"/>
    </row>
    <row r="153" spans="1:25" x14ac:dyDescent="0.35">
      <c r="A153" s="28"/>
      <c r="B153" s="28"/>
      <c r="C153" s="29"/>
      <c r="D153" s="40" t="s">
        <v>267</v>
      </c>
      <c r="E153" s="36"/>
      <c r="F153" s="36"/>
      <c r="G153" s="36"/>
      <c r="H153" s="56"/>
      <c r="I153" s="56">
        <f>I109*(2/3)</f>
        <v>47.222780314321383</v>
      </c>
      <c r="J153" s="56">
        <f>I109*(1/3)</f>
        <v>23.611390157160692</v>
      </c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5">
        <f>SUM(H153:U153)</f>
        <v>70.834170471482082</v>
      </c>
      <c r="X153" s="30"/>
      <c r="Y153" s="28"/>
    </row>
    <row r="154" spans="1:25" x14ac:dyDescent="0.35">
      <c r="A154" s="28"/>
      <c r="B154" s="28"/>
      <c r="C154" s="29"/>
      <c r="D154" s="40" t="s">
        <v>278</v>
      </c>
      <c r="E154" s="36"/>
      <c r="F154" s="36"/>
      <c r="G154" s="57"/>
      <c r="H154" s="56"/>
      <c r="I154" s="56"/>
      <c r="J154" s="56">
        <f>J109*1/4</f>
        <v>53.125627853611576</v>
      </c>
      <c r="K154" s="56">
        <f>J109*1/2</f>
        <v>106.25125570722315</v>
      </c>
      <c r="L154" s="56">
        <f>J109*1/4</f>
        <v>53.125627853611576</v>
      </c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5">
        <f>SUM(H154:U154)</f>
        <v>212.5025114144463</v>
      </c>
      <c r="X154" s="30"/>
      <c r="Y154" s="28"/>
    </row>
    <row r="155" spans="1:25" x14ac:dyDescent="0.35">
      <c r="A155" s="28"/>
      <c r="B155" s="28"/>
      <c r="C155" s="29"/>
      <c r="D155" s="40" t="s">
        <v>25</v>
      </c>
      <c r="E155" s="36"/>
      <c r="F155" s="36"/>
      <c r="G155" s="36"/>
      <c r="H155" s="56"/>
      <c r="I155" s="56"/>
      <c r="J155" s="56"/>
      <c r="K155" s="56"/>
      <c r="L155" s="56">
        <f>K109*1/2</f>
        <v>45.156783675569834</v>
      </c>
      <c r="M155" s="56">
        <f>K109*1/2</f>
        <v>45.156783675569834</v>
      </c>
      <c r="N155" s="56"/>
      <c r="O155" s="56"/>
      <c r="P155" s="56"/>
      <c r="Q155" s="56"/>
      <c r="R155" s="56"/>
      <c r="S155" s="56"/>
      <c r="T155" s="56"/>
      <c r="U155" s="56"/>
      <c r="V155" s="56"/>
      <c r="W155" s="55">
        <f>SUM(H155:U155)</f>
        <v>90.313567351139667</v>
      </c>
      <c r="X155" s="30"/>
      <c r="Y155" s="28"/>
    </row>
    <row r="156" spans="1:25" x14ac:dyDescent="0.35">
      <c r="A156" s="28"/>
      <c r="B156" s="28"/>
      <c r="C156" s="29"/>
      <c r="D156" s="40" t="s">
        <v>45</v>
      </c>
      <c r="E156" s="36"/>
      <c r="F156" s="36"/>
      <c r="G156" s="36"/>
      <c r="H156" s="56"/>
      <c r="I156" s="56"/>
      <c r="J156" s="56"/>
      <c r="K156" s="56"/>
      <c r="L156" s="56"/>
      <c r="M156" s="56">
        <f>L109*1/3</f>
        <v>69.240401635873738</v>
      </c>
      <c r="N156" s="56">
        <f>L109*2/3</f>
        <v>138.48080327174748</v>
      </c>
      <c r="O156" s="56"/>
      <c r="P156" s="56"/>
      <c r="Q156" s="56"/>
      <c r="R156" s="56"/>
      <c r="S156" s="56"/>
      <c r="T156" s="56"/>
      <c r="U156" s="56"/>
      <c r="V156" s="56"/>
      <c r="W156" s="55">
        <f t="shared" ref="W156:W158" si="9">SUM(H156:U156)</f>
        <v>207.7212049076212</v>
      </c>
      <c r="X156" s="30"/>
      <c r="Y156" s="28"/>
    </row>
    <row r="157" spans="1:25" x14ac:dyDescent="0.35">
      <c r="A157" s="28"/>
      <c r="B157" s="28"/>
      <c r="C157" s="29"/>
      <c r="D157" s="40" t="s">
        <v>46</v>
      </c>
      <c r="E157" s="36"/>
      <c r="F157" s="36"/>
      <c r="G157" s="36"/>
      <c r="H157" s="56"/>
      <c r="I157" s="56"/>
      <c r="J157" s="56"/>
      <c r="K157" s="56"/>
      <c r="L157" s="56"/>
      <c r="M157" s="56"/>
      <c r="N157" s="56"/>
      <c r="O157" s="56">
        <f>M109*2/5</f>
        <v>104.69148727344108</v>
      </c>
      <c r="P157" s="56">
        <f>M109*2/5</f>
        <v>104.69148727344108</v>
      </c>
      <c r="Q157" s="56">
        <f>M109*1/5</f>
        <v>52.345743636720542</v>
      </c>
      <c r="R157" s="56"/>
      <c r="S157" s="56"/>
      <c r="T157" s="56"/>
      <c r="U157" s="56"/>
      <c r="V157" s="56"/>
      <c r="W157" s="55">
        <f t="shared" si="9"/>
        <v>261.72871818360272</v>
      </c>
      <c r="X157" s="30"/>
      <c r="Y157" s="28"/>
    </row>
    <row r="158" spans="1:25" x14ac:dyDescent="0.35">
      <c r="A158" s="28"/>
      <c r="B158" s="28"/>
      <c r="C158" s="29"/>
      <c r="D158" s="40" t="s">
        <v>47</v>
      </c>
      <c r="E158" s="36"/>
      <c r="F158" s="36"/>
      <c r="G158" s="36"/>
      <c r="H158" s="56"/>
      <c r="I158" s="56"/>
      <c r="J158" s="56"/>
      <c r="K158" s="56"/>
      <c r="L158" s="56"/>
      <c r="M158" s="56"/>
      <c r="N158" s="56"/>
      <c r="O158" s="56"/>
      <c r="P158" s="56"/>
      <c r="Q158" s="56">
        <f>N109*1/6</f>
        <v>50.709939148073026</v>
      </c>
      <c r="R158" s="56">
        <f>N109*2/6</f>
        <v>101.41987829614605</v>
      </c>
      <c r="S158" s="56">
        <f>N109*2/6</f>
        <v>101.41987829614605</v>
      </c>
      <c r="T158" s="56">
        <f>N109*1/6</f>
        <v>50.709939148073026</v>
      </c>
      <c r="U158" s="56"/>
      <c r="V158" s="56"/>
      <c r="W158" s="55">
        <f t="shared" si="9"/>
        <v>304.25963488843814</v>
      </c>
      <c r="X158" s="30"/>
      <c r="Y158" s="28"/>
    </row>
    <row r="159" spans="1:25" x14ac:dyDescent="0.35">
      <c r="A159" s="28"/>
      <c r="B159" s="28"/>
      <c r="C159" s="29"/>
      <c r="D159" s="40" t="s">
        <v>270</v>
      </c>
      <c r="E159" s="36"/>
      <c r="F159" s="36"/>
      <c r="G159" s="3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>
        <f>O109*1/3</f>
        <v>19.215686274509803</v>
      </c>
      <c r="U159" s="56">
        <f>O109*2/3</f>
        <v>38.431372549019606</v>
      </c>
      <c r="V159" s="56"/>
      <c r="W159" s="55">
        <f>SUM(H159:U159)</f>
        <v>57.647058823529406</v>
      </c>
      <c r="X159" s="30"/>
      <c r="Y159" s="28"/>
    </row>
    <row r="160" spans="1:25" ht="13.15" x14ac:dyDescent="0.4">
      <c r="A160" s="28"/>
      <c r="B160" s="28"/>
      <c r="C160" s="29"/>
      <c r="D160" s="58"/>
      <c r="E160" s="59"/>
      <c r="F160" s="59"/>
      <c r="G160" s="59"/>
      <c r="H160" s="60">
        <f>SUM(H152:H159)</f>
        <v>29.51423769645087</v>
      </c>
      <c r="I160" s="60">
        <f t="shared" ref="I160:U160" si="10">SUM(I152:I159)</f>
        <v>47.222780314321383</v>
      </c>
      <c r="J160" s="60">
        <f t="shared" si="10"/>
        <v>76.73701801077226</v>
      </c>
      <c r="K160" s="60">
        <f t="shared" si="10"/>
        <v>106.25125570722315</v>
      </c>
      <c r="L160" s="60">
        <f t="shared" si="10"/>
        <v>98.282411529181417</v>
      </c>
      <c r="M160" s="60">
        <f t="shared" si="10"/>
        <v>114.39718531144356</v>
      </c>
      <c r="N160" s="60">
        <f t="shared" si="10"/>
        <v>138.48080327174748</v>
      </c>
      <c r="O160" s="60">
        <f t="shared" si="10"/>
        <v>104.69148727344108</v>
      </c>
      <c r="P160" s="60">
        <f t="shared" si="10"/>
        <v>104.69148727344108</v>
      </c>
      <c r="Q160" s="60">
        <f t="shared" si="10"/>
        <v>103.05568278479356</v>
      </c>
      <c r="R160" s="60">
        <f t="shared" si="10"/>
        <v>101.41987829614605</v>
      </c>
      <c r="S160" s="60">
        <f t="shared" si="10"/>
        <v>101.41987829614605</v>
      </c>
      <c r="T160" s="60">
        <f t="shared" si="10"/>
        <v>69.925625422582826</v>
      </c>
      <c r="U160" s="60">
        <f t="shared" si="10"/>
        <v>38.431372549019606</v>
      </c>
      <c r="V160" s="56"/>
      <c r="W160" s="61">
        <f>SUM(W152:W159)</f>
        <v>1234.5211037367105</v>
      </c>
      <c r="X160" s="30"/>
      <c r="Y160" s="28"/>
    </row>
    <row r="161" spans="1:25" x14ac:dyDescent="0.35">
      <c r="A161" s="28"/>
      <c r="B161" s="28"/>
      <c r="C161" s="29"/>
      <c r="D161" s="35"/>
      <c r="E161" s="36"/>
      <c r="F161" s="36"/>
      <c r="G161" s="36"/>
      <c r="H161" s="37"/>
      <c r="I161" s="37"/>
      <c r="J161" s="62"/>
      <c r="K161" s="37"/>
      <c r="L161" s="63"/>
      <c r="M161" s="37"/>
      <c r="N161" s="37"/>
      <c r="O161" s="37"/>
      <c r="P161" s="37"/>
      <c r="Q161" s="37"/>
      <c r="R161" s="37"/>
      <c r="S161" s="37"/>
      <c r="T161" s="37"/>
      <c r="U161" s="37"/>
      <c r="V161" s="56"/>
      <c r="W161" s="39"/>
      <c r="X161" s="30"/>
      <c r="Y161" s="28"/>
    </row>
    <row r="162" spans="1:25" ht="13.15" x14ac:dyDescent="0.35">
      <c r="A162" s="28"/>
      <c r="B162" s="28"/>
      <c r="C162" s="29"/>
      <c r="D162" s="46" t="s">
        <v>303</v>
      </c>
      <c r="E162" s="47"/>
      <c r="F162" s="47"/>
      <c r="G162" s="47"/>
      <c r="H162" s="49">
        <f t="shared" ref="H162:U162" si="11">H160*((1+$G$149)^($U$151-H151))</f>
        <v>101.89115321421315</v>
      </c>
      <c r="I162" s="49">
        <f t="shared" si="11"/>
        <v>148.20531376612817</v>
      </c>
      <c r="J162" s="49">
        <f t="shared" si="11"/>
        <v>218.93966806359848</v>
      </c>
      <c r="K162" s="49">
        <f t="shared" si="11"/>
        <v>275.58839336676732</v>
      </c>
      <c r="L162" s="49">
        <f t="shared" si="11"/>
        <v>231.74478533114524</v>
      </c>
      <c r="M162" s="49">
        <f t="shared" si="11"/>
        <v>245.22052632910692</v>
      </c>
      <c r="N162" s="49">
        <f t="shared" si="11"/>
        <v>269.85990935739039</v>
      </c>
      <c r="O162" s="49">
        <f t="shared" si="11"/>
        <v>185.46735588562464</v>
      </c>
      <c r="P162" s="49">
        <f t="shared" si="11"/>
        <v>168.60668716874966</v>
      </c>
      <c r="Q162" s="49">
        <f t="shared" si="11"/>
        <v>150.88382516521628</v>
      </c>
      <c r="R162" s="49">
        <f t="shared" si="11"/>
        <v>134.98985801217043</v>
      </c>
      <c r="S162" s="49">
        <f t="shared" si="11"/>
        <v>122.71805273833674</v>
      </c>
      <c r="T162" s="49">
        <f t="shared" si="11"/>
        <v>76.91818796484111</v>
      </c>
      <c r="U162" s="49">
        <f t="shared" si="11"/>
        <v>38.431372549019606</v>
      </c>
      <c r="V162" s="49"/>
      <c r="W162" s="64">
        <f>SUM(H162:U162)</f>
        <v>2369.4650889123081</v>
      </c>
      <c r="X162" s="30"/>
      <c r="Y162" s="28"/>
    </row>
    <row r="163" spans="1:25" x14ac:dyDescent="0.35">
      <c r="A163" s="28"/>
      <c r="B163" s="28"/>
      <c r="C163" s="31"/>
      <c r="D163" s="47"/>
      <c r="E163" s="47"/>
      <c r="F163" s="47"/>
      <c r="G163" s="47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33"/>
      <c r="Y163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085D-15B4-4A7C-9CD3-17F2308E3F35}">
  <sheetPr>
    <tabColor theme="8" tint="-0.499984740745262"/>
  </sheetPr>
  <dimension ref="A2:N88"/>
  <sheetViews>
    <sheetView showGridLines="0" showRowColHeaders="0" zoomScale="85" zoomScaleNormal="85" workbookViewId="0">
      <selection activeCell="B3" sqref="B3"/>
    </sheetView>
  </sheetViews>
  <sheetFormatPr defaultRowHeight="12.75" x14ac:dyDescent="0.35"/>
  <cols>
    <col min="1" max="2" width="2.1328125" customWidth="1"/>
    <col min="3" max="21" width="36.73046875" customWidth="1"/>
  </cols>
  <sheetData>
    <row r="2" spans="1:14" ht="16.899999999999999" x14ac:dyDescent="0.5">
      <c r="B2" s="99" t="s">
        <v>332</v>
      </c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4" spans="1:14" ht="13.15" x14ac:dyDescent="0.4">
      <c r="C4" s="111" t="s">
        <v>57</v>
      </c>
      <c r="D4" s="98"/>
      <c r="E4" s="108"/>
    </row>
    <row r="5" spans="1:14" x14ac:dyDescent="0.35">
      <c r="C5" s="4" t="s">
        <v>37</v>
      </c>
      <c r="D5" s="5"/>
      <c r="E5" s="6"/>
    </row>
    <row r="6" spans="1:14" x14ac:dyDescent="0.35">
      <c r="C6" s="4"/>
      <c r="D6" s="5"/>
      <c r="E6" s="6"/>
    </row>
    <row r="7" spans="1:14" s="123" customFormat="1" ht="25.5" x14ac:dyDescent="0.35">
      <c r="A7"/>
      <c r="B7"/>
      <c r="C7" s="4"/>
      <c r="D7" s="144" t="s">
        <v>31</v>
      </c>
      <c r="E7" s="145" t="s">
        <v>38</v>
      </c>
    </row>
    <row r="8" spans="1:14" s="123" customFormat="1" x14ac:dyDescent="0.35">
      <c r="A8"/>
      <c r="B8"/>
      <c r="C8" s="4"/>
      <c r="D8" s="16"/>
      <c r="E8" s="17"/>
    </row>
    <row r="9" spans="1:14" s="123" customFormat="1" x14ac:dyDescent="0.35">
      <c r="A9"/>
      <c r="B9"/>
      <c r="C9" s="4" t="s">
        <v>32</v>
      </c>
      <c r="D9" s="16">
        <v>10</v>
      </c>
      <c r="E9" s="17">
        <v>503</v>
      </c>
    </row>
    <row r="10" spans="1:14" s="123" customFormat="1" x14ac:dyDescent="0.35">
      <c r="A10"/>
      <c r="B10"/>
      <c r="C10" s="4" t="s">
        <v>33</v>
      </c>
      <c r="D10" s="16">
        <v>40</v>
      </c>
      <c r="E10" s="17">
        <v>462</v>
      </c>
    </row>
    <row r="11" spans="1:14" s="123" customFormat="1" x14ac:dyDescent="0.35">
      <c r="A11"/>
      <c r="B11"/>
      <c r="C11" s="4" t="s">
        <v>34</v>
      </c>
      <c r="D11" s="16">
        <v>350</v>
      </c>
      <c r="E11" s="17">
        <v>162</v>
      </c>
    </row>
    <row r="12" spans="1:14" s="123" customFormat="1" x14ac:dyDescent="0.35">
      <c r="A12"/>
      <c r="B12"/>
      <c r="C12" s="4" t="s">
        <v>35</v>
      </c>
      <c r="D12" s="16">
        <v>400</v>
      </c>
      <c r="E12" s="17">
        <v>4</v>
      </c>
    </row>
    <row r="13" spans="1:14" s="123" customFormat="1" x14ac:dyDescent="0.35">
      <c r="A13"/>
      <c r="B13"/>
      <c r="C13" s="7" t="s">
        <v>36</v>
      </c>
      <c r="D13" s="146">
        <v>4236</v>
      </c>
      <c r="E13" s="19">
        <v>0</v>
      </c>
    </row>
    <row r="14" spans="1:14" s="123" customFormat="1" x14ac:dyDescent="0.35">
      <c r="A14"/>
      <c r="B14"/>
      <c r="C14"/>
    </row>
    <row r="15" spans="1:14" s="123" customFormat="1" ht="13.15" x14ac:dyDescent="0.4">
      <c r="A15"/>
      <c r="B15"/>
      <c r="C15" s="111" t="s">
        <v>43</v>
      </c>
      <c r="D15" s="147"/>
      <c r="E15" s="147"/>
      <c r="F15" s="147"/>
      <c r="G15" s="148"/>
    </row>
    <row r="16" spans="1:14" s="123" customFormat="1" x14ac:dyDescent="0.35">
      <c r="A16"/>
      <c r="B16"/>
      <c r="C16" s="4" t="s">
        <v>56</v>
      </c>
      <c r="D16" s="16"/>
      <c r="E16" s="16"/>
      <c r="F16" s="16"/>
      <c r="G16" s="17"/>
    </row>
    <row r="17" spans="1:8" s="123" customFormat="1" x14ac:dyDescent="0.35">
      <c r="A17"/>
      <c r="B17"/>
      <c r="C17" s="4"/>
      <c r="D17" s="16"/>
      <c r="E17" s="16"/>
      <c r="F17" s="16"/>
      <c r="G17" s="17"/>
    </row>
    <row r="18" spans="1:8" s="123" customFormat="1" x14ac:dyDescent="0.35">
      <c r="A18"/>
      <c r="B18"/>
      <c r="C18" s="4"/>
      <c r="D18" s="16" t="s">
        <v>39</v>
      </c>
      <c r="E18" s="16" t="s">
        <v>0</v>
      </c>
      <c r="F18" s="16" t="s">
        <v>1</v>
      </c>
      <c r="G18" s="17" t="s">
        <v>40</v>
      </c>
    </row>
    <row r="19" spans="1:8" s="123" customFormat="1" x14ac:dyDescent="0.35">
      <c r="A19"/>
      <c r="B19"/>
      <c r="C19" s="4"/>
      <c r="D19" s="16"/>
      <c r="E19" s="16"/>
      <c r="F19" s="16"/>
      <c r="G19" s="17"/>
    </row>
    <row r="20" spans="1:8" s="123" customFormat="1" x14ac:dyDescent="0.35">
      <c r="A20"/>
      <c r="B20"/>
      <c r="C20" s="4" t="s">
        <v>41</v>
      </c>
      <c r="D20" s="149">
        <v>5512</v>
      </c>
      <c r="E20" s="149">
        <v>4081</v>
      </c>
      <c r="F20" s="149">
        <v>7549</v>
      </c>
      <c r="G20" s="150">
        <v>380</v>
      </c>
    </row>
    <row r="21" spans="1:8" s="123" customFormat="1" x14ac:dyDescent="0.35">
      <c r="A21"/>
      <c r="B21"/>
      <c r="C21" s="7" t="s">
        <v>42</v>
      </c>
      <c r="D21" s="151">
        <v>1967</v>
      </c>
      <c r="E21" s="151">
        <v>837</v>
      </c>
      <c r="F21" s="151">
        <v>2303</v>
      </c>
      <c r="G21" s="152">
        <v>135</v>
      </c>
    </row>
    <row r="22" spans="1:8" s="123" customFormat="1" x14ac:dyDescent="0.35">
      <c r="A22"/>
      <c r="B22"/>
      <c r="C22"/>
    </row>
    <row r="23" spans="1:8" s="123" customFormat="1" ht="13.15" x14ac:dyDescent="0.4">
      <c r="A23"/>
      <c r="B23"/>
      <c r="C23" s="111" t="s">
        <v>54</v>
      </c>
      <c r="D23" s="147"/>
      <c r="E23" s="147"/>
      <c r="F23" s="147"/>
      <c r="G23" s="147"/>
      <c r="H23" s="148"/>
    </row>
    <row r="24" spans="1:8" s="123" customFormat="1" x14ac:dyDescent="0.35">
      <c r="A24"/>
      <c r="B24"/>
      <c r="C24" s="4" t="s">
        <v>55</v>
      </c>
      <c r="D24" s="16"/>
      <c r="E24" s="16"/>
      <c r="F24" s="16"/>
      <c r="G24" s="16"/>
      <c r="H24" s="17"/>
    </row>
    <row r="25" spans="1:8" s="123" customFormat="1" x14ac:dyDescent="0.35">
      <c r="A25"/>
      <c r="B25"/>
      <c r="C25" s="4"/>
      <c r="D25" s="16"/>
      <c r="E25" s="16"/>
      <c r="F25" s="16"/>
      <c r="G25" s="16"/>
      <c r="H25" s="17"/>
    </row>
    <row r="26" spans="1:8" s="123" customFormat="1" x14ac:dyDescent="0.35">
      <c r="A26"/>
      <c r="B26"/>
      <c r="C26" s="4"/>
      <c r="D26" s="16" t="s">
        <v>44</v>
      </c>
      <c r="E26" s="16" t="s">
        <v>45</v>
      </c>
      <c r="F26" s="16" t="s">
        <v>46</v>
      </c>
      <c r="G26" s="16" t="s">
        <v>47</v>
      </c>
      <c r="H26" s="17" t="s">
        <v>29</v>
      </c>
    </row>
    <row r="27" spans="1:8" s="123" customFormat="1" x14ac:dyDescent="0.35">
      <c r="A27"/>
      <c r="B27"/>
      <c r="C27" s="4" t="s">
        <v>48</v>
      </c>
      <c r="D27" s="16">
        <v>560</v>
      </c>
      <c r="E27" s="16">
        <v>489</v>
      </c>
      <c r="F27" s="16">
        <v>472</v>
      </c>
      <c r="G27" s="16">
        <v>161</v>
      </c>
      <c r="H27" s="153">
        <v>1682</v>
      </c>
    </row>
    <row r="28" spans="1:8" s="123" customFormat="1" x14ac:dyDescent="0.35">
      <c r="A28"/>
      <c r="B28"/>
      <c r="C28" s="4" t="s">
        <v>49</v>
      </c>
      <c r="D28" s="16">
        <v>922</v>
      </c>
      <c r="E28" s="16">
        <v>642</v>
      </c>
      <c r="F28" s="16">
        <v>575</v>
      </c>
      <c r="G28" s="16">
        <v>220</v>
      </c>
      <c r="H28" s="153">
        <v>2359</v>
      </c>
    </row>
    <row r="29" spans="1:8" s="123" customFormat="1" x14ac:dyDescent="0.35">
      <c r="A29"/>
      <c r="B29"/>
      <c r="C29" s="4" t="s">
        <v>50</v>
      </c>
      <c r="D29" s="154">
        <v>2139</v>
      </c>
      <c r="E29" s="16">
        <v>785</v>
      </c>
      <c r="F29" s="16">
        <v>677</v>
      </c>
      <c r="G29" s="16">
        <v>377</v>
      </c>
      <c r="H29" s="153">
        <v>3978</v>
      </c>
    </row>
    <row r="30" spans="1:8" s="123" customFormat="1" x14ac:dyDescent="0.35">
      <c r="A30"/>
      <c r="B30"/>
      <c r="C30" s="4" t="s">
        <v>51</v>
      </c>
      <c r="D30" s="154">
        <v>1891</v>
      </c>
      <c r="E30" s="16">
        <v>557</v>
      </c>
      <c r="F30" s="16">
        <v>637</v>
      </c>
      <c r="G30" s="16">
        <v>183</v>
      </c>
      <c r="H30" s="153">
        <v>3268</v>
      </c>
    </row>
    <row r="31" spans="1:8" s="123" customFormat="1" x14ac:dyDescent="0.35">
      <c r="A31"/>
      <c r="B31"/>
      <c r="C31" s="7" t="s">
        <v>52</v>
      </c>
      <c r="D31" s="146">
        <v>13264</v>
      </c>
      <c r="E31" s="146">
        <v>2748</v>
      </c>
      <c r="F31" s="146">
        <v>2941</v>
      </c>
      <c r="G31" s="18">
        <v>896</v>
      </c>
      <c r="H31" s="155">
        <v>19849</v>
      </c>
    </row>
    <row r="32" spans="1:8" s="123" customFormat="1" x14ac:dyDescent="0.35">
      <c r="A32"/>
      <c r="B32"/>
      <c r="C32"/>
    </row>
    <row r="33" spans="1:11" s="123" customFormat="1" ht="13.15" x14ac:dyDescent="0.4">
      <c r="A33"/>
      <c r="B33"/>
      <c r="C33" s="111" t="s">
        <v>60</v>
      </c>
      <c r="D33" s="147"/>
      <c r="E33" s="147"/>
      <c r="F33" s="147"/>
      <c r="G33" s="147"/>
      <c r="H33" s="148"/>
    </row>
    <row r="34" spans="1:11" s="123" customFormat="1" x14ac:dyDescent="0.35">
      <c r="A34"/>
      <c r="B34"/>
      <c r="C34" s="4" t="s">
        <v>55</v>
      </c>
      <c r="D34" s="16"/>
      <c r="E34" s="16"/>
      <c r="F34" s="16"/>
      <c r="G34" s="16"/>
      <c r="H34" s="17"/>
    </row>
    <row r="35" spans="1:11" s="123" customFormat="1" x14ac:dyDescent="0.35">
      <c r="A35"/>
      <c r="B35"/>
      <c r="C35" s="4"/>
      <c r="D35" s="16"/>
      <c r="E35" s="16"/>
      <c r="F35" s="16"/>
      <c r="G35" s="16"/>
      <c r="H35" s="17"/>
    </row>
    <row r="36" spans="1:11" s="123" customFormat="1" x14ac:dyDescent="0.35">
      <c r="A36"/>
      <c r="B36"/>
      <c r="C36" s="4"/>
      <c r="D36" s="16" t="s">
        <v>44</v>
      </c>
      <c r="E36" s="16" t="s">
        <v>45</v>
      </c>
      <c r="F36" s="16" t="s">
        <v>46</v>
      </c>
      <c r="G36" s="16" t="s">
        <v>47</v>
      </c>
      <c r="H36" s="17" t="s">
        <v>29</v>
      </c>
    </row>
    <row r="37" spans="1:11" s="123" customFormat="1" x14ac:dyDescent="0.35">
      <c r="A37"/>
      <c r="B37"/>
      <c r="C37" s="4" t="s">
        <v>58</v>
      </c>
      <c r="D37" s="16">
        <v>427</v>
      </c>
      <c r="E37" s="16">
        <v>88</v>
      </c>
      <c r="F37" s="16">
        <v>146</v>
      </c>
      <c r="G37" s="16">
        <v>66</v>
      </c>
      <c r="H37" s="17">
        <v>727</v>
      </c>
    </row>
    <row r="38" spans="1:11" s="123" customFormat="1" x14ac:dyDescent="0.35">
      <c r="A38"/>
      <c r="B38"/>
      <c r="C38" s="4" t="s">
        <v>59</v>
      </c>
      <c r="D38" s="154">
        <v>5766</v>
      </c>
      <c r="E38" s="154">
        <v>1896</v>
      </c>
      <c r="F38" s="154">
        <v>1322</v>
      </c>
      <c r="G38" s="16">
        <v>680</v>
      </c>
      <c r="H38" s="153">
        <v>9664</v>
      </c>
    </row>
    <row r="39" spans="1:11" s="123" customFormat="1" x14ac:dyDescent="0.35">
      <c r="A39"/>
      <c r="B39"/>
      <c r="C39" s="4" t="s">
        <v>0</v>
      </c>
      <c r="D39" s="154">
        <v>4061</v>
      </c>
      <c r="E39" s="154">
        <v>1135</v>
      </c>
      <c r="F39" s="154">
        <v>1408</v>
      </c>
      <c r="G39" s="16">
        <v>426</v>
      </c>
      <c r="H39" s="153">
        <v>7030</v>
      </c>
    </row>
    <row r="40" spans="1:11" s="123" customFormat="1" x14ac:dyDescent="0.35">
      <c r="A40"/>
      <c r="B40"/>
      <c r="C40" s="7" t="s">
        <v>1</v>
      </c>
      <c r="D40" s="146">
        <v>8522</v>
      </c>
      <c r="E40" s="146">
        <v>2102</v>
      </c>
      <c r="F40" s="146">
        <v>2426</v>
      </c>
      <c r="G40" s="18">
        <v>665</v>
      </c>
      <c r="H40" s="155">
        <v>13715</v>
      </c>
    </row>
    <row r="41" spans="1:11" s="123" customFormat="1" x14ac:dyDescent="0.35">
      <c r="A41"/>
      <c r="B41"/>
      <c r="C41"/>
    </row>
    <row r="42" spans="1:11" s="123" customFormat="1" ht="13.15" x14ac:dyDescent="0.4">
      <c r="A42"/>
      <c r="B42"/>
      <c r="C42" s="111" t="s">
        <v>63</v>
      </c>
      <c r="D42" s="147"/>
      <c r="E42" s="147"/>
      <c r="F42" s="147"/>
      <c r="G42" s="147"/>
      <c r="H42" s="147"/>
      <c r="I42" s="147"/>
      <c r="J42" s="147"/>
      <c r="K42" s="148"/>
    </row>
    <row r="43" spans="1:11" s="123" customFormat="1" x14ac:dyDescent="0.35">
      <c r="A43"/>
      <c r="B43"/>
      <c r="C43" s="4" t="s">
        <v>53</v>
      </c>
      <c r="D43" s="16"/>
      <c r="E43" s="16"/>
      <c r="F43" s="16"/>
      <c r="G43" s="16"/>
      <c r="H43" s="16"/>
      <c r="I43" s="16"/>
      <c r="J43" s="16"/>
      <c r="K43" s="17"/>
    </row>
    <row r="44" spans="1:11" s="123" customFormat="1" x14ac:dyDescent="0.35">
      <c r="A44"/>
      <c r="B44"/>
      <c r="C44" s="4"/>
      <c r="D44" s="16"/>
      <c r="E44" s="16"/>
      <c r="F44" s="16"/>
      <c r="G44" s="16"/>
      <c r="H44" s="16"/>
      <c r="I44" s="16"/>
      <c r="J44" s="16"/>
      <c r="K44" s="17"/>
    </row>
    <row r="45" spans="1:11" s="123" customFormat="1" x14ac:dyDescent="0.35">
      <c r="A45"/>
      <c r="B45"/>
      <c r="C45" s="4"/>
      <c r="D45" s="16" t="s">
        <v>61</v>
      </c>
      <c r="E45" s="16" t="s">
        <v>62</v>
      </c>
      <c r="F45" s="16" t="s">
        <v>61</v>
      </c>
      <c r="G45" s="16" t="s">
        <v>62</v>
      </c>
      <c r="H45" s="16" t="s">
        <v>61</v>
      </c>
      <c r="I45" s="16" t="s">
        <v>62</v>
      </c>
      <c r="J45" s="16" t="s">
        <v>61</v>
      </c>
      <c r="K45" s="17" t="s">
        <v>62</v>
      </c>
    </row>
    <row r="46" spans="1:11" s="123" customFormat="1" x14ac:dyDescent="0.35">
      <c r="A46"/>
      <c r="B46"/>
      <c r="C46" s="4" t="s">
        <v>48</v>
      </c>
      <c r="D46" s="16">
        <v>55</v>
      </c>
      <c r="E46" s="16">
        <v>505</v>
      </c>
      <c r="F46" s="16">
        <v>40</v>
      </c>
      <c r="G46" s="16">
        <v>449</v>
      </c>
      <c r="H46" s="16">
        <v>29</v>
      </c>
      <c r="I46" s="16">
        <v>443</v>
      </c>
      <c r="J46" s="16">
        <v>7</v>
      </c>
      <c r="K46" s="17">
        <v>154</v>
      </c>
    </row>
    <row r="47" spans="1:11" s="123" customFormat="1" x14ac:dyDescent="0.35">
      <c r="A47"/>
      <c r="B47"/>
      <c r="C47" s="4" t="s">
        <v>49</v>
      </c>
      <c r="D47" s="16">
        <v>68</v>
      </c>
      <c r="E47" s="16">
        <v>854</v>
      </c>
      <c r="F47" s="16">
        <v>38</v>
      </c>
      <c r="G47" s="16">
        <v>604</v>
      </c>
      <c r="H47" s="16">
        <v>44</v>
      </c>
      <c r="I47" s="16">
        <v>531</v>
      </c>
      <c r="J47" s="16">
        <v>21</v>
      </c>
      <c r="K47" s="17">
        <v>199</v>
      </c>
    </row>
    <row r="48" spans="1:11" s="123" customFormat="1" x14ac:dyDescent="0.35">
      <c r="A48"/>
      <c r="B48"/>
      <c r="C48" s="4" t="s">
        <v>50</v>
      </c>
      <c r="D48" s="16">
        <v>158</v>
      </c>
      <c r="E48" s="154">
        <v>1981</v>
      </c>
      <c r="F48" s="16">
        <v>75</v>
      </c>
      <c r="G48" s="16">
        <v>710</v>
      </c>
      <c r="H48" s="16">
        <v>46</v>
      </c>
      <c r="I48" s="16">
        <v>631</v>
      </c>
      <c r="J48" s="16">
        <v>42</v>
      </c>
      <c r="K48" s="17">
        <v>335</v>
      </c>
    </row>
    <row r="49" spans="1:11" s="123" customFormat="1" x14ac:dyDescent="0.35">
      <c r="A49"/>
      <c r="B49"/>
      <c r="C49" s="4" t="s">
        <v>51</v>
      </c>
      <c r="D49" s="16">
        <v>123</v>
      </c>
      <c r="E49" s="154">
        <v>1768</v>
      </c>
      <c r="F49" s="16">
        <v>45</v>
      </c>
      <c r="G49" s="16">
        <v>512</v>
      </c>
      <c r="H49" s="16">
        <v>44</v>
      </c>
      <c r="I49" s="16">
        <v>593</v>
      </c>
      <c r="J49" s="16">
        <v>18</v>
      </c>
      <c r="K49" s="17">
        <v>165</v>
      </c>
    </row>
    <row r="50" spans="1:11" s="123" customFormat="1" x14ac:dyDescent="0.35">
      <c r="A50"/>
      <c r="B50"/>
      <c r="C50" s="7" t="s">
        <v>52</v>
      </c>
      <c r="D50" s="146">
        <v>1124</v>
      </c>
      <c r="E50" s="146">
        <v>12140</v>
      </c>
      <c r="F50" s="18">
        <v>222</v>
      </c>
      <c r="G50" s="146">
        <v>2526</v>
      </c>
      <c r="H50" s="18">
        <v>210</v>
      </c>
      <c r="I50" s="146">
        <v>2731</v>
      </c>
      <c r="J50" s="18">
        <v>89</v>
      </c>
      <c r="K50" s="19">
        <v>807</v>
      </c>
    </row>
    <row r="51" spans="1:11" s="123" customFormat="1" x14ac:dyDescent="0.35">
      <c r="A51"/>
      <c r="B51"/>
      <c r="C51"/>
    </row>
    <row r="52" spans="1:11" s="123" customFormat="1" ht="13.15" x14ac:dyDescent="0.4">
      <c r="A52"/>
      <c r="B52"/>
      <c r="C52" s="111" t="s">
        <v>67</v>
      </c>
      <c r="D52" s="147"/>
      <c r="E52" s="147"/>
      <c r="F52" s="147"/>
      <c r="G52" s="147"/>
      <c r="H52" s="147"/>
      <c r="I52" s="147"/>
      <c r="J52" s="147"/>
      <c r="K52" s="148"/>
    </row>
    <row r="53" spans="1:11" s="123" customFormat="1" x14ac:dyDescent="0.35">
      <c r="A53"/>
      <c r="B53"/>
      <c r="C53" s="4" t="s">
        <v>66</v>
      </c>
      <c r="D53" s="16"/>
      <c r="E53" s="16"/>
      <c r="F53" s="16"/>
      <c r="G53" s="16"/>
      <c r="H53" s="16"/>
      <c r="I53" s="16"/>
      <c r="J53" s="16"/>
      <c r="K53" s="17"/>
    </row>
    <row r="54" spans="1:11" s="123" customFormat="1" x14ac:dyDescent="0.35">
      <c r="A54"/>
      <c r="B54"/>
      <c r="C54" s="4"/>
      <c r="D54" s="16"/>
      <c r="E54" s="16"/>
      <c r="F54" s="16"/>
      <c r="G54" s="16"/>
      <c r="H54" s="16"/>
      <c r="I54" s="16"/>
      <c r="J54" s="16"/>
      <c r="K54" s="17"/>
    </row>
    <row r="55" spans="1:11" s="123" customFormat="1" x14ac:dyDescent="0.35">
      <c r="A55"/>
      <c r="B55"/>
      <c r="C55" s="4"/>
      <c r="D55" s="16" t="s">
        <v>64</v>
      </c>
      <c r="E55" s="16" t="s">
        <v>65</v>
      </c>
      <c r="F55" s="16" t="s">
        <v>64</v>
      </c>
      <c r="G55" s="16" t="s">
        <v>65</v>
      </c>
      <c r="H55" s="16" t="s">
        <v>64</v>
      </c>
      <c r="I55" s="16" t="s">
        <v>65</v>
      </c>
      <c r="J55" s="16" t="s">
        <v>64</v>
      </c>
      <c r="K55" s="17" t="s">
        <v>65</v>
      </c>
    </row>
    <row r="56" spans="1:11" s="123" customFormat="1" x14ac:dyDescent="0.35">
      <c r="A56"/>
      <c r="B56"/>
      <c r="C56" s="4" t="s">
        <v>48</v>
      </c>
      <c r="D56" s="16">
        <v>105</v>
      </c>
      <c r="E56" s="16">
        <v>360</v>
      </c>
      <c r="F56" s="16">
        <v>40</v>
      </c>
      <c r="G56" s="16">
        <v>390</v>
      </c>
      <c r="H56" s="16">
        <v>39</v>
      </c>
      <c r="I56" s="16">
        <v>353</v>
      </c>
      <c r="J56" s="16">
        <v>10</v>
      </c>
      <c r="K56" s="17">
        <v>102</v>
      </c>
    </row>
    <row r="57" spans="1:11" s="123" customFormat="1" x14ac:dyDescent="0.35">
      <c r="A57"/>
      <c r="B57"/>
      <c r="C57" s="4" t="s">
        <v>49</v>
      </c>
      <c r="D57" s="16">
        <v>140</v>
      </c>
      <c r="E57" s="16">
        <v>620</v>
      </c>
      <c r="F57" s="16">
        <v>34</v>
      </c>
      <c r="G57" s="16">
        <v>531</v>
      </c>
      <c r="H57" s="16">
        <v>31</v>
      </c>
      <c r="I57" s="16">
        <v>445</v>
      </c>
      <c r="J57" s="16">
        <v>10</v>
      </c>
      <c r="K57" s="17">
        <v>163</v>
      </c>
    </row>
    <row r="58" spans="1:11" s="123" customFormat="1" x14ac:dyDescent="0.35">
      <c r="A58"/>
      <c r="B58"/>
      <c r="C58" s="4" t="s">
        <v>50</v>
      </c>
      <c r="D58" s="16">
        <v>275</v>
      </c>
      <c r="E58" s="154">
        <v>1461</v>
      </c>
      <c r="F58" s="16">
        <v>84</v>
      </c>
      <c r="G58" s="16">
        <v>580</v>
      </c>
      <c r="H58" s="16">
        <v>76</v>
      </c>
      <c r="I58" s="16">
        <v>457</v>
      </c>
      <c r="J58" s="16">
        <v>11</v>
      </c>
      <c r="K58" s="17">
        <v>262</v>
      </c>
    </row>
    <row r="59" spans="1:11" s="123" customFormat="1" x14ac:dyDescent="0.35">
      <c r="A59"/>
      <c r="B59"/>
      <c r="C59" s="4" t="s">
        <v>51</v>
      </c>
      <c r="D59" s="16">
        <v>301</v>
      </c>
      <c r="E59" s="154">
        <v>1148</v>
      </c>
      <c r="F59" s="16">
        <v>70</v>
      </c>
      <c r="G59" s="16">
        <v>379</v>
      </c>
      <c r="H59" s="16">
        <v>99</v>
      </c>
      <c r="I59" s="16">
        <v>403</v>
      </c>
      <c r="J59" s="16">
        <v>15</v>
      </c>
      <c r="K59" s="17">
        <v>129</v>
      </c>
    </row>
    <row r="60" spans="1:11" s="123" customFormat="1" x14ac:dyDescent="0.35">
      <c r="A60"/>
      <c r="B60"/>
      <c r="C60" s="7" t="s">
        <v>52</v>
      </c>
      <c r="D60" s="146">
        <v>1985</v>
      </c>
      <c r="E60" s="146">
        <v>8060</v>
      </c>
      <c r="F60" s="18">
        <v>402</v>
      </c>
      <c r="G60" s="146">
        <v>1814</v>
      </c>
      <c r="H60" s="18">
        <v>467</v>
      </c>
      <c r="I60" s="146">
        <v>1730</v>
      </c>
      <c r="J60" s="18">
        <v>55</v>
      </c>
      <c r="K60" s="19">
        <v>599</v>
      </c>
    </row>
    <row r="61" spans="1:11" s="123" customFormat="1" x14ac:dyDescent="0.35">
      <c r="A61"/>
      <c r="B61"/>
      <c r="C61"/>
    </row>
    <row r="62" spans="1:11" s="123" customFormat="1" ht="13.15" x14ac:dyDescent="0.4">
      <c r="A62"/>
      <c r="B62"/>
      <c r="C62" s="111" t="s">
        <v>70</v>
      </c>
      <c r="D62" s="147"/>
      <c r="E62" s="147"/>
      <c r="F62" s="147"/>
      <c r="G62" s="147"/>
      <c r="H62" s="147"/>
      <c r="I62" s="148"/>
    </row>
    <row r="63" spans="1:11" s="123" customFormat="1" x14ac:dyDescent="0.35">
      <c r="A63"/>
      <c r="B63"/>
      <c r="C63" s="4" t="s">
        <v>55</v>
      </c>
      <c r="D63" s="16"/>
      <c r="E63" s="16"/>
      <c r="F63" s="16"/>
      <c r="G63" s="16"/>
      <c r="H63" s="16"/>
      <c r="I63" s="17"/>
    </row>
    <row r="64" spans="1:11" s="123" customFormat="1" x14ac:dyDescent="0.35">
      <c r="A64"/>
      <c r="B64"/>
      <c r="C64" s="4"/>
      <c r="D64" s="16"/>
      <c r="E64" s="16"/>
      <c r="F64" s="16"/>
      <c r="G64" s="16"/>
      <c r="H64" s="16"/>
      <c r="I64" s="17"/>
    </row>
    <row r="65" spans="1:14" s="123" customFormat="1" x14ac:dyDescent="0.35">
      <c r="A65"/>
      <c r="B65"/>
      <c r="C65" s="4"/>
      <c r="D65" s="16" t="s">
        <v>52</v>
      </c>
      <c r="E65" s="16" t="s">
        <v>51</v>
      </c>
      <c r="F65" s="16" t="s">
        <v>50</v>
      </c>
      <c r="G65" s="16" t="s">
        <v>49</v>
      </c>
      <c r="H65" s="16" t="s">
        <v>48</v>
      </c>
      <c r="I65" s="17" t="s">
        <v>29</v>
      </c>
    </row>
    <row r="66" spans="1:14" s="123" customFormat="1" x14ac:dyDescent="0.35">
      <c r="A66"/>
      <c r="B66"/>
      <c r="C66" s="4"/>
      <c r="D66" s="16"/>
      <c r="E66" s="16"/>
      <c r="F66" s="16"/>
      <c r="G66" s="16"/>
      <c r="H66" s="16"/>
      <c r="I66" s="17"/>
    </row>
    <row r="67" spans="1:14" s="123" customFormat="1" x14ac:dyDescent="0.35">
      <c r="A67"/>
      <c r="B67"/>
      <c r="C67" s="4" t="s">
        <v>68</v>
      </c>
      <c r="D67" s="154">
        <v>4503</v>
      </c>
      <c r="E67" s="16">
        <v>927</v>
      </c>
      <c r="F67" s="154">
        <v>1705</v>
      </c>
      <c r="G67" s="154">
        <v>1444</v>
      </c>
      <c r="H67" s="16">
        <v>978</v>
      </c>
      <c r="I67" s="153">
        <v>9557</v>
      </c>
    </row>
    <row r="68" spans="1:14" s="123" customFormat="1" x14ac:dyDescent="0.35">
      <c r="A68"/>
      <c r="B68"/>
      <c r="C68" s="7" t="s">
        <v>69</v>
      </c>
      <c r="D68" s="146">
        <v>15346</v>
      </c>
      <c r="E68" s="146">
        <v>2341</v>
      </c>
      <c r="F68" s="146">
        <v>2273</v>
      </c>
      <c r="G68" s="18">
        <v>915</v>
      </c>
      <c r="H68" s="18">
        <v>704</v>
      </c>
      <c r="I68" s="155">
        <v>21579</v>
      </c>
    </row>
    <row r="69" spans="1:14" s="123" customFormat="1" x14ac:dyDescent="0.35">
      <c r="A69"/>
      <c r="B69"/>
      <c r="C69"/>
    </row>
    <row r="70" spans="1:14" s="123" customFormat="1" ht="13.15" x14ac:dyDescent="0.4">
      <c r="A70"/>
      <c r="B70"/>
      <c r="C70" s="111" t="s">
        <v>73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8"/>
    </row>
    <row r="71" spans="1:14" s="123" customFormat="1" x14ac:dyDescent="0.35">
      <c r="A71"/>
      <c r="B71"/>
      <c r="C71" s="4" t="s">
        <v>66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</row>
    <row r="72" spans="1:14" s="123" customFormat="1" x14ac:dyDescent="0.35">
      <c r="A72"/>
      <c r="B72"/>
      <c r="C72" s="4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</row>
    <row r="73" spans="1:14" s="123" customFormat="1" x14ac:dyDescent="0.35">
      <c r="A73"/>
      <c r="B73"/>
      <c r="C73" s="4"/>
      <c r="D73" s="16" t="s">
        <v>64</v>
      </c>
      <c r="E73" s="16" t="s">
        <v>65</v>
      </c>
      <c r="F73" s="16" t="s">
        <v>64</v>
      </c>
      <c r="G73" s="16" t="s">
        <v>65</v>
      </c>
      <c r="H73" s="16" t="s">
        <v>64</v>
      </c>
      <c r="I73" s="16" t="s">
        <v>65</v>
      </c>
      <c r="J73" s="16" t="s">
        <v>64</v>
      </c>
      <c r="K73" s="16" t="s">
        <v>65</v>
      </c>
      <c r="L73" s="16" t="s">
        <v>64</v>
      </c>
      <c r="M73" s="16" t="s">
        <v>65</v>
      </c>
      <c r="N73" s="17" t="s">
        <v>71</v>
      </c>
    </row>
    <row r="74" spans="1:14" s="123" customFormat="1" x14ac:dyDescent="0.35">
      <c r="A74"/>
      <c r="B74"/>
      <c r="C74" s="4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</row>
    <row r="75" spans="1:14" s="123" customFormat="1" x14ac:dyDescent="0.35">
      <c r="A75"/>
      <c r="B75"/>
      <c r="C75" s="4" t="s">
        <v>68</v>
      </c>
      <c r="D75" s="16">
        <v>462</v>
      </c>
      <c r="E75" s="154">
        <v>3117</v>
      </c>
      <c r="F75" s="16">
        <v>107</v>
      </c>
      <c r="G75" s="16">
        <v>690</v>
      </c>
      <c r="H75" s="16">
        <v>164</v>
      </c>
      <c r="I75" s="154">
        <v>1207</v>
      </c>
      <c r="J75" s="16">
        <v>164</v>
      </c>
      <c r="K75" s="154">
        <v>1012</v>
      </c>
      <c r="L75" s="16">
        <v>163</v>
      </c>
      <c r="M75" s="16">
        <v>637</v>
      </c>
      <c r="N75" s="153">
        <v>7723</v>
      </c>
    </row>
    <row r="76" spans="1:14" s="123" customFormat="1" x14ac:dyDescent="0.35">
      <c r="A76"/>
      <c r="B76"/>
      <c r="C76" s="7" t="s">
        <v>72</v>
      </c>
      <c r="D76" s="146">
        <v>2447</v>
      </c>
      <c r="E76" s="146">
        <v>9086</v>
      </c>
      <c r="F76" s="18">
        <v>378</v>
      </c>
      <c r="G76" s="146">
        <v>1369</v>
      </c>
      <c r="H76" s="18">
        <v>282</v>
      </c>
      <c r="I76" s="146">
        <v>1553</v>
      </c>
      <c r="J76" s="18">
        <v>51</v>
      </c>
      <c r="K76" s="18">
        <v>747</v>
      </c>
      <c r="L76" s="18">
        <v>31</v>
      </c>
      <c r="M76" s="18">
        <v>568</v>
      </c>
      <c r="N76" s="155">
        <v>16512</v>
      </c>
    </row>
    <row r="77" spans="1:14" s="123" customFormat="1" x14ac:dyDescent="0.35">
      <c r="A77"/>
      <c r="B77"/>
      <c r="C77"/>
    </row>
    <row r="78" spans="1:14" s="123" customFormat="1" ht="12.75" customHeight="1" x14ac:dyDescent="0.4">
      <c r="A78"/>
      <c r="B78"/>
      <c r="C78" s="111" t="s">
        <v>75</v>
      </c>
      <c r="D78" s="148"/>
    </row>
    <row r="79" spans="1:14" s="123" customFormat="1" ht="12.75" customHeight="1" x14ac:dyDescent="0.35">
      <c r="A79"/>
      <c r="B79"/>
      <c r="C79" s="4" t="s">
        <v>74</v>
      </c>
      <c r="D79" s="17"/>
    </row>
    <row r="80" spans="1:14" s="123" customFormat="1" ht="12.75" customHeight="1" x14ac:dyDescent="0.35">
      <c r="A80"/>
      <c r="B80"/>
      <c r="C80" s="4"/>
      <c r="D80" s="17"/>
    </row>
    <row r="81" spans="1:4" s="123" customFormat="1" ht="12.75" customHeight="1" x14ac:dyDescent="0.35">
      <c r="A81"/>
      <c r="B81"/>
      <c r="C81" s="12" t="s">
        <v>78</v>
      </c>
      <c r="D81" s="156">
        <v>0.16500000000000001</v>
      </c>
    </row>
    <row r="82" spans="1:4" s="123" customFormat="1" ht="12.75" customHeight="1" x14ac:dyDescent="0.35">
      <c r="A82"/>
      <c r="B82"/>
      <c r="C82" s="4" t="s">
        <v>76</v>
      </c>
      <c r="D82" s="156">
        <v>8.8999999999999996E-2</v>
      </c>
    </row>
    <row r="83" spans="1:4" s="123" customFormat="1" ht="12.75" customHeight="1" x14ac:dyDescent="0.35">
      <c r="A83"/>
      <c r="B83"/>
      <c r="C83" s="4" t="s">
        <v>77</v>
      </c>
      <c r="D83" s="156">
        <v>0.17699999999999999</v>
      </c>
    </row>
    <row r="84" spans="1:4" s="123" customFormat="1" ht="12.75" customHeight="1" x14ac:dyDescent="0.35">
      <c r="A84"/>
      <c r="B84"/>
      <c r="C84" s="12" t="s">
        <v>79</v>
      </c>
      <c r="D84" s="156">
        <v>0.215</v>
      </c>
    </row>
    <row r="85" spans="1:4" s="123" customFormat="1" ht="12.75" customHeight="1" x14ac:dyDescent="0.35">
      <c r="A85"/>
      <c r="B85"/>
      <c r="C85" s="12" t="s">
        <v>80</v>
      </c>
      <c r="D85" s="156">
        <v>6.3E-2</v>
      </c>
    </row>
    <row r="86" spans="1:4" s="123" customFormat="1" ht="12.75" customHeight="1" x14ac:dyDescent="0.35">
      <c r="A86"/>
      <c r="B86"/>
      <c r="C86" s="12" t="s">
        <v>81</v>
      </c>
      <c r="D86" s="156">
        <v>0.13900000000000001</v>
      </c>
    </row>
    <row r="87" spans="1:4" s="123" customFormat="1" ht="12.75" customHeight="1" x14ac:dyDescent="0.35">
      <c r="A87"/>
      <c r="B87"/>
      <c r="C87" s="15" t="s">
        <v>82</v>
      </c>
      <c r="D87" s="21">
        <v>0.152</v>
      </c>
    </row>
    <row r="88" spans="1:4" x14ac:dyDescent="0.35">
      <c r="D88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C8E2-5E62-4AE9-9A93-C1A27BAEE115}">
  <sheetPr>
    <tabColor theme="5" tint="-0.499984740745262"/>
  </sheetPr>
  <dimension ref="B1:T73"/>
  <sheetViews>
    <sheetView showGridLines="0" showRowColHeaders="0" zoomScale="85" zoomScaleNormal="85" workbookViewId="0">
      <selection activeCell="B3" sqref="B3"/>
    </sheetView>
  </sheetViews>
  <sheetFormatPr defaultRowHeight="12.75" x14ac:dyDescent="0.35"/>
  <cols>
    <col min="1" max="2" width="2.1328125" customWidth="1"/>
    <col min="3" max="3" width="36.73046875" customWidth="1"/>
    <col min="4" max="19" width="36.73046875" style="123" customWidth="1"/>
    <col min="20" max="21" width="36.73046875" customWidth="1"/>
  </cols>
  <sheetData>
    <row r="1" spans="2:20" x14ac:dyDescent="0.35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2:20" s="1" customFormat="1" ht="15.75" customHeight="1" x14ac:dyDescent="0.5">
      <c r="B2" s="94" t="s">
        <v>333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/>
    </row>
    <row r="3" spans="2:20" x14ac:dyDescent="0.35"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20" ht="13.15" x14ac:dyDescent="0.4">
      <c r="C4" s="110" t="s">
        <v>86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7"/>
    </row>
    <row r="5" spans="2:20" x14ac:dyDescent="0.35">
      <c r="C5" s="4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20" x14ac:dyDescent="0.3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2:20" x14ac:dyDescent="0.35">
      <c r="C7" s="4"/>
      <c r="D7" s="16">
        <v>2005</v>
      </c>
      <c r="E7" s="16">
        <v>2006</v>
      </c>
      <c r="F7" s="16">
        <v>2007</v>
      </c>
      <c r="G7" s="16">
        <v>2008</v>
      </c>
      <c r="H7" s="16">
        <v>2009</v>
      </c>
      <c r="I7" s="16">
        <v>2010</v>
      </c>
      <c r="J7" s="16">
        <v>2011</v>
      </c>
      <c r="K7" s="16">
        <v>2012</v>
      </c>
      <c r="L7" s="16">
        <v>2013</v>
      </c>
      <c r="M7" s="16">
        <v>2014</v>
      </c>
      <c r="N7" s="16">
        <v>2015</v>
      </c>
      <c r="O7" s="16">
        <v>2016</v>
      </c>
      <c r="P7" s="16">
        <v>2017</v>
      </c>
      <c r="Q7" s="16">
        <v>2018</v>
      </c>
      <c r="R7" s="16">
        <v>2019</v>
      </c>
      <c r="S7" s="17">
        <v>2020</v>
      </c>
    </row>
    <row r="8" spans="2:20" x14ac:dyDescent="0.35">
      <c r="C8" s="4" t="s">
        <v>29</v>
      </c>
      <c r="D8" s="16">
        <v>80.33202</v>
      </c>
      <c r="E8" s="16">
        <v>92.303650000000005</v>
      </c>
      <c r="F8" s="16">
        <v>107.20829999999999</v>
      </c>
      <c r="G8" s="16">
        <v>117.88209999999999</v>
      </c>
      <c r="H8" s="16">
        <v>120.07170000000001</v>
      </c>
      <c r="I8" s="16">
        <v>128.5292</v>
      </c>
      <c r="J8" s="16">
        <v>136.5127</v>
      </c>
      <c r="K8" s="16">
        <v>136.01339999999999</v>
      </c>
      <c r="L8" s="16">
        <v>138.37620000000001</v>
      </c>
      <c r="M8" s="16">
        <v>144.65110000000001</v>
      </c>
      <c r="N8" s="16">
        <v>148.87180000000001</v>
      </c>
      <c r="O8" s="16">
        <v>159.39680000000001</v>
      </c>
      <c r="P8" s="16">
        <v>168.5204</v>
      </c>
      <c r="Q8" s="16">
        <v>181.3537</v>
      </c>
      <c r="R8" s="16">
        <v>188.72300000000001</v>
      </c>
      <c r="S8" s="17"/>
    </row>
    <row r="9" spans="2:20" x14ac:dyDescent="0.35">
      <c r="C9" s="4" t="s">
        <v>83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>
        <v>102.4892</v>
      </c>
    </row>
    <row r="10" spans="2:20" x14ac:dyDescent="0.35">
      <c r="C10" s="7" t="s">
        <v>84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v>91.747140000000002</v>
      </c>
    </row>
    <row r="12" spans="2:20" ht="13.15" x14ac:dyDescent="0.4">
      <c r="C12" s="110" t="s">
        <v>113</v>
      </c>
      <c r="D12" s="157"/>
      <c r="E12" s="157"/>
      <c r="F12" s="157"/>
      <c r="G12" s="158"/>
    </row>
    <row r="13" spans="2:20" x14ac:dyDescent="0.35">
      <c r="C13" s="4"/>
      <c r="D13" s="16"/>
      <c r="E13" s="16"/>
      <c r="F13" s="16"/>
      <c r="G13" s="17"/>
    </row>
    <row r="14" spans="2:20" x14ac:dyDescent="0.35">
      <c r="C14" s="4" t="s">
        <v>87</v>
      </c>
      <c r="D14" s="16" t="s">
        <v>88</v>
      </c>
      <c r="E14" s="16" t="s">
        <v>89</v>
      </c>
      <c r="F14" s="16" t="s">
        <v>90</v>
      </c>
      <c r="G14" s="17" t="s">
        <v>91</v>
      </c>
    </row>
    <row r="15" spans="2:20" x14ac:dyDescent="0.35">
      <c r="C15" s="4">
        <v>1</v>
      </c>
      <c r="D15" s="16" t="s">
        <v>92</v>
      </c>
      <c r="E15" s="16">
        <v>11.2</v>
      </c>
      <c r="F15" s="159">
        <v>5.7000000000000002E-2</v>
      </c>
      <c r="G15" s="17" t="s">
        <v>93</v>
      </c>
    </row>
    <row r="16" spans="2:20" x14ac:dyDescent="0.35">
      <c r="C16" s="4">
        <v>2</v>
      </c>
      <c r="D16" s="16" t="s">
        <v>94</v>
      </c>
      <c r="E16" s="16">
        <v>9.4</v>
      </c>
      <c r="F16" s="159">
        <v>4.9000000000000002E-2</v>
      </c>
      <c r="G16" s="17" t="s">
        <v>95</v>
      </c>
    </row>
    <row r="17" spans="3:7" x14ac:dyDescent="0.35">
      <c r="C17" s="4">
        <v>3</v>
      </c>
      <c r="D17" s="16" t="s">
        <v>96</v>
      </c>
      <c r="E17" s="16">
        <v>9.4</v>
      </c>
      <c r="F17" s="159">
        <v>4.8000000000000001E-2</v>
      </c>
      <c r="G17" s="17" t="s">
        <v>95</v>
      </c>
    </row>
    <row r="18" spans="3:7" x14ac:dyDescent="0.35">
      <c r="C18" s="4">
        <v>4</v>
      </c>
      <c r="D18" s="16" t="s">
        <v>97</v>
      </c>
      <c r="E18" s="16">
        <v>9</v>
      </c>
      <c r="F18" s="159">
        <v>4.5999999999999999E-2</v>
      </c>
      <c r="G18" s="17" t="s">
        <v>95</v>
      </c>
    </row>
    <row r="19" spans="3:7" x14ac:dyDescent="0.35">
      <c r="C19" s="4">
        <v>5</v>
      </c>
      <c r="D19" s="16" t="s">
        <v>98</v>
      </c>
      <c r="E19" s="16">
        <v>8.8000000000000007</v>
      </c>
      <c r="F19" s="159">
        <v>4.4999999999999998E-2</v>
      </c>
      <c r="G19" s="17" t="s">
        <v>95</v>
      </c>
    </row>
    <row r="20" spans="3:7" x14ac:dyDescent="0.35">
      <c r="C20" s="4">
        <v>6</v>
      </c>
      <c r="D20" s="16" t="s">
        <v>99</v>
      </c>
      <c r="E20" s="16">
        <v>8.6</v>
      </c>
      <c r="F20" s="159">
        <v>4.3999999999999997E-2</v>
      </c>
      <c r="G20" s="17" t="s">
        <v>93</v>
      </c>
    </row>
    <row r="21" spans="3:7" x14ac:dyDescent="0.35">
      <c r="C21" s="4">
        <v>7</v>
      </c>
      <c r="D21" s="16" t="s">
        <v>100</v>
      </c>
      <c r="E21" s="16">
        <v>5.9</v>
      </c>
      <c r="F21" s="159">
        <v>0.03</v>
      </c>
      <c r="G21" s="17" t="s">
        <v>101</v>
      </c>
    </row>
    <row r="22" spans="3:7" x14ac:dyDescent="0.35">
      <c r="C22" s="4">
        <v>8</v>
      </c>
      <c r="D22" s="16" t="s">
        <v>102</v>
      </c>
      <c r="E22" s="16">
        <v>5.8</v>
      </c>
      <c r="F22" s="159">
        <v>0.03</v>
      </c>
      <c r="G22" s="17" t="s">
        <v>95</v>
      </c>
    </row>
    <row r="23" spans="3:7" x14ac:dyDescent="0.35">
      <c r="C23" s="4">
        <v>9</v>
      </c>
      <c r="D23" s="16" t="s">
        <v>103</v>
      </c>
      <c r="E23" s="16">
        <v>5.8</v>
      </c>
      <c r="F23" s="159">
        <v>0.03</v>
      </c>
      <c r="G23" s="17" t="s">
        <v>104</v>
      </c>
    </row>
    <row r="24" spans="3:7" x14ac:dyDescent="0.35">
      <c r="C24" s="4">
        <v>10</v>
      </c>
      <c r="D24" s="16" t="s">
        <v>105</v>
      </c>
      <c r="E24" s="16">
        <v>5.8</v>
      </c>
      <c r="F24" s="159">
        <v>0.03</v>
      </c>
      <c r="G24" s="17" t="s">
        <v>95</v>
      </c>
    </row>
    <row r="25" spans="3:7" x14ac:dyDescent="0.35">
      <c r="C25" s="4">
        <v>11</v>
      </c>
      <c r="D25" s="16" t="s">
        <v>106</v>
      </c>
      <c r="E25" s="16">
        <v>5.8</v>
      </c>
      <c r="F25" s="159">
        <v>0.03</v>
      </c>
      <c r="G25" s="17" t="s">
        <v>104</v>
      </c>
    </row>
    <row r="26" spans="3:7" x14ac:dyDescent="0.35">
      <c r="C26" s="4">
        <v>12</v>
      </c>
      <c r="D26" s="16" t="s">
        <v>107</v>
      </c>
      <c r="E26" s="16">
        <v>4.7</v>
      </c>
      <c r="F26" s="159">
        <v>2.4E-2</v>
      </c>
      <c r="G26" s="17" t="s">
        <v>95</v>
      </c>
    </row>
    <row r="27" spans="3:7" x14ac:dyDescent="0.35">
      <c r="C27" s="4">
        <v>13</v>
      </c>
      <c r="D27" s="16" t="s">
        <v>108</v>
      </c>
      <c r="E27" s="16">
        <v>4.4000000000000004</v>
      </c>
      <c r="F27" s="159">
        <v>2.3E-2</v>
      </c>
      <c r="G27" s="17" t="s">
        <v>109</v>
      </c>
    </row>
    <row r="28" spans="3:7" x14ac:dyDescent="0.35">
      <c r="C28" s="4">
        <v>14</v>
      </c>
      <c r="D28" s="16" t="s">
        <v>110</v>
      </c>
      <c r="E28" s="16">
        <v>4.3</v>
      </c>
      <c r="F28" s="159">
        <v>2.1999999999999999E-2</v>
      </c>
      <c r="G28" s="17" t="s">
        <v>95</v>
      </c>
    </row>
    <row r="29" spans="3:7" x14ac:dyDescent="0.35">
      <c r="C29" s="4">
        <v>15</v>
      </c>
      <c r="D29" s="16" t="s">
        <v>111</v>
      </c>
      <c r="E29" s="16">
        <v>3.6</v>
      </c>
      <c r="F29" s="159">
        <v>1.9E-2</v>
      </c>
      <c r="G29" s="17" t="s">
        <v>112</v>
      </c>
    </row>
    <row r="30" spans="3:7" x14ac:dyDescent="0.35">
      <c r="C30" s="4">
        <v>16</v>
      </c>
      <c r="D30" s="16" t="s">
        <v>114</v>
      </c>
      <c r="E30" s="16">
        <v>3.2</v>
      </c>
      <c r="F30" s="159">
        <v>1.7000000000000001E-2</v>
      </c>
      <c r="G30" s="17" t="s">
        <v>112</v>
      </c>
    </row>
    <row r="31" spans="3:7" x14ac:dyDescent="0.35">
      <c r="C31" s="4">
        <v>17</v>
      </c>
      <c r="D31" s="16" t="s">
        <v>115</v>
      </c>
      <c r="E31" s="16">
        <v>2.7</v>
      </c>
      <c r="F31" s="159">
        <v>1.4E-2</v>
      </c>
      <c r="G31" s="17" t="s">
        <v>95</v>
      </c>
    </row>
    <row r="32" spans="3:7" x14ac:dyDescent="0.35">
      <c r="C32" s="4">
        <v>18</v>
      </c>
      <c r="D32" s="16" t="s">
        <v>116</v>
      </c>
      <c r="E32" s="16">
        <v>2.4</v>
      </c>
      <c r="F32" s="159">
        <v>1.2999999999999999E-2</v>
      </c>
      <c r="G32" s="17" t="s">
        <v>117</v>
      </c>
    </row>
    <row r="33" spans="3:19" x14ac:dyDescent="0.35">
      <c r="C33" s="4">
        <v>19</v>
      </c>
      <c r="D33" s="16" t="s">
        <v>118</v>
      </c>
      <c r="E33" s="16">
        <v>2.2999999999999998</v>
      </c>
      <c r="F33" s="159">
        <v>1.2E-2</v>
      </c>
      <c r="G33" s="17" t="s">
        <v>95</v>
      </c>
    </row>
    <row r="34" spans="3:19" x14ac:dyDescent="0.35">
      <c r="C34" s="4">
        <v>20</v>
      </c>
      <c r="D34" s="16" t="s">
        <v>119</v>
      </c>
      <c r="E34" s="16">
        <v>2.2000000000000002</v>
      </c>
      <c r="F34" s="159">
        <v>1.0999999999999999E-2</v>
      </c>
      <c r="G34" s="17" t="s">
        <v>109</v>
      </c>
    </row>
    <row r="35" spans="3:19" x14ac:dyDescent="0.35">
      <c r="C35" s="4">
        <v>21</v>
      </c>
      <c r="D35" s="16" t="s">
        <v>120</v>
      </c>
      <c r="E35" s="16">
        <v>2.1</v>
      </c>
      <c r="F35" s="159">
        <v>1.0999999999999999E-2</v>
      </c>
      <c r="G35" s="17" t="s">
        <v>109</v>
      </c>
    </row>
    <row r="36" spans="3:19" x14ac:dyDescent="0.35">
      <c r="C36" s="4">
        <v>22</v>
      </c>
      <c r="D36" s="16" t="s">
        <v>121</v>
      </c>
      <c r="E36" s="16">
        <v>2.1</v>
      </c>
      <c r="F36" s="159">
        <v>1.0999999999999999E-2</v>
      </c>
      <c r="G36" s="17" t="s">
        <v>95</v>
      </c>
    </row>
    <row r="37" spans="3:19" x14ac:dyDescent="0.35">
      <c r="C37" s="4">
        <v>23</v>
      </c>
      <c r="D37" s="16" t="s">
        <v>122</v>
      </c>
      <c r="E37" s="16">
        <v>2</v>
      </c>
      <c r="F37" s="159">
        <v>0.01</v>
      </c>
      <c r="G37" s="17" t="s">
        <v>109</v>
      </c>
    </row>
    <row r="38" spans="3:19" x14ac:dyDescent="0.35">
      <c r="C38" s="4">
        <v>24</v>
      </c>
      <c r="D38" s="16" t="s">
        <v>123</v>
      </c>
      <c r="E38" s="16">
        <v>1.8</v>
      </c>
      <c r="F38" s="159">
        <v>8.9999999999999993E-3</v>
      </c>
      <c r="G38" s="17" t="s">
        <v>112</v>
      </c>
    </row>
    <row r="39" spans="3:19" x14ac:dyDescent="0.35">
      <c r="C39" s="4">
        <v>25</v>
      </c>
      <c r="D39" s="16" t="s">
        <v>124</v>
      </c>
      <c r="E39" s="16">
        <v>1.7</v>
      </c>
      <c r="F39" s="159">
        <v>8.9999999999999993E-3</v>
      </c>
      <c r="G39" s="17" t="s">
        <v>95</v>
      </c>
    </row>
    <row r="40" spans="3:19" x14ac:dyDescent="0.35">
      <c r="C40" s="4">
        <v>26</v>
      </c>
      <c r="D40" s="16" t="s">
        <v>125</v>
      </c>
      <c r="E40" s="16">
        <v>1.7</v>
      </c>
      <c r="F40" s="159">
        <v>8.9999999999999993E-3</v>
      </c>
      <c r="G40" s="17" t="s">
        <v>126</v>
      </c>
    </row>
    <row r="41" spans="3:19" x14ac:dyDescent="0.35">
      <c r="C41" s="4">
        <v>27</v>
      </c>
      <c r="D41" s="16" t="s">
        <v>127</v>
      </c>
      <c r="E41" s="16">
        <v>1.5</v>
      </c>
      <c r="F41" s="159">
        <v>8.0000000000000002E-3</v>
      </c>
      <c r="G41" s="17" t="s">
        <v>109</v>
      </c>
    </row>
    <row r="42" spans="3:19" x14ac:dyDescent="0.35">
      <c r="C42" s="4">
        <v>28</v>
      </c>
      <c r="D42" s="16" t="s">
        <v>128</v>
      </c>
      <c r="E42" s="16">
        <v>1.2</v>
      </c>
      <c r="F42" s="159">
        <v>6.0000000000000001E-3</v>
      </c>
      <c r="G42" s="17" t="s">
        <v>129</v>
      </c>
    </row>
    <row r="43" spans="3:19" x14ac:dyDescent="0.35">
      <c r="C43" s="4">
        <v>29</v>
      </c>
      <c r="D43" s="16" t="s">
        <v>130</v>
      </c>
      <c r="E43" s="16">
        <v>1.1000000000000001</v>
      </c>
      <c r="F43" s="159">
        <v>6.0000000000000001E-3</v>
      </c>
      <c r="G43" s="17" t="s">
        <v>95</v>
      </c>
    </row>
    <row r="44" spans="3:19" x14ac:dyDescent="0.35">
      <c r="C44" s="7">
        <v>30</v>
      </c>
      <c r="D44" s="18" t="s">
        <v>131</v>
      </c>
      <c r="E44" s="18">
        <v>1.1000000000000001</v>
      </c>
      <c r="F44" s="160">
        <v>6.0000000000000001E-3</v>
      </c>
      <c r="G44" s="19" t="s">
        <v>109</v>
      </c>
    </row>
    <row r="46" spans="3:19" ht="13.15" x14ac:dyDescent="0.4">
      <c r="C46" s="110" t="s">
        <v>132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8"/>
    </row>
    <row r="47" spans="3:19" x14ac:dyDescent="0.35">
      <c r="C47" s="4" t="s">
        <v>286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</row>
    <row r="48" spans="3:19" x14ac:dyDescent="0.35">
      <c r="C48" s="4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</row>
    <row r="49" spans="3:19" x14ac:dyDescent="0.35">
      <c r="C49" s="4"/>
      <c r="D49" s="16">
        <v>2005</v>
      </c>
      <c r="E49" s="16">
        <v>2006</v>
      </c>
      <c r="F49" s="16">
        <v>2007</v>
      </c>
      <c r="G49" s="16">
        <v>2008</v>
      </c>
      <c r="H49" s="16">
        <v>2009</v>
      </c>
      <c r="I49" s="16">
        <v>2010</v>
      </c>
      <c r="J49" s="16">
        <v>2011</v>
      </c>
      <c r="K49" s="16">
        <v>2012</v>
      </c>
      <c r="L49" s="16">
        <v>2013</v>
      </c>
      <c r="M49" s="16">
        <v>2014</v>
      </c>
      <c r="N49" s="16">
        <v>2015</v>
      </c>
      <c r="O49" s="16">
        <v>2016</v>
      </c>
      <c r="P49" s="16">
        <v>2017</v>
      </c>
      <c r="Q49" s="16">
        <v>2018</v>
      </c>
      <c r="R49" s="16">
        <v>2019</v>
      </c>
      <c r="S49" s="17">
        <v>2020</v>
      </c>
    </row>
    <row r="50" spans="3:19" x14ac:dyDescent="0.35">
      <c r="C50" s="4" t="s">
        <v>1</v>
      </c>
      <c r="D50" s="154">
        <v>34959.5</v>
      </c>
      <c r="E50" s="154">
        <v>39324</v>
      </c>
      <c r="F50" s="154">
        <v>43650</v>
      </c>
      <c r="G50" s="154">
        <v>45332</v>
      </c>
      <c r="H50" s="154">
        <v>46565</v>
      </c>
      <c r="I50" s="154">
        <v>53260</v>
      </c>
      <c r="J50" s="154">
        <v>54444</v>
      </c>
      <c r="K50" s="154">
        <v>55726</v>
      </c>
      <c r="L50" s="154">
        <v>58084</v>
      </c>
      <c r="M50" s="154">
        <v>62629</v>
      </c>
      <c r="N50" s="154">
        <v>68437</v>
      </c>
      <c r="O50" s="154">
        <v>75197</v>
      </c>
      <c r="P50" s="154">
        <v>80818</v>
      </c>
      <c r="Q50" s="154">
        <v>88897</v>
      </c>
      <c r="R50" s="154">
        <v>95978</v>
      </c>
      <c r="S50" s="153">
        <v>100993</v>
      </c>
    </row>
    <row r="51" spans="3:19" x14ac:dyDescent="0.35">
      <c r="C51" s="4" t="s">
        <v>0</v>
      </c>
      <c r="D51" s="154">
        <v>34226</v>
      </c>
      <c r="E51" s="154">
        <v>40877</v>
      </c>
      <c r="F51" s="154">
        <v>49228</v>
      </c>
      <c r="G51" s="154">
        <v>54650</v>
      </c>
      <c r="H51" s="154">
        <v>53277</v>
      </c>
      <c r="I51" s="154">
        <v>53056</v>
      </c>
      <c r="J51" s="154">
        <v>58079</v>
      </c>
      <c r="K51" s="154">
        <v>55965</v>
      </c>
      <c r="L51" s="154">
        <v>57075</v>
      </c>
      <c r="M51" s="154">
        <v>59404</v>
      </c>
      <c r="N51" s="154">
        <v>58357</v>
      </c>
      <c r="O51" s="154">
        <v>59609</v>
      </c>
      <c r="P51" s="154">
        <v>61952</v>
      </c>
      <c r="Q51" s="154">
        <v>65612</v>
      </c>
      <c r="R51" s="154">
        <v>66082</v>
      </c>
      <c r="S51" s="153">
        <v>66904</v>
      </c>
    </row>
    <row r="52" spans="3:19" x14ac:dyDescent="0.35">
      <c r="C52" s="4" t="s">
        <v>39</v>
      </c>
      <c r="D52" s="154">
        <v>10626</v>
      </c>
      <c r="E52" s="154">
        <v>11458</v>
      </c>
      <c r="F52" s="154">
        <v>13589</v>
      </c>
      <c r="G52" s="154">
        <v>16893</v>
      </c>
      <c r="H52" s="154">
        <v>19249</v>
      </c>
      <c r="I52" s="154">
        <v>21110</v>
      </c>
      <c r="J52" s="154">
        <v>22727</v>
      </c>
      <c r="K52" s="154">
        <v>22829</v>
      </c>
      <c r="L52" s="154">
        <v>21527</v>
      </c>
      <c r="M52" s="154">
        <v>20831</v>
      </c>
      <c r="N52" s="154">
        <v>20164</v>
      </c>
      <c r="O52" s="154">
        <v>21986</v>
      </c>
      <c r="P52" s="154">
        <v>23217</v>
      </c>
      <c r="Q52" s="154">
        <v>24529</v>
      </c>
      <c r="R52" s="154">
        <v>24298</v>
      </c>
      <c r="S52" s="153">
        <v>23887</v>
      </c>
    </row>
    <row r="53" spans="3:19" x14ac:dyDescent="0.35">
      <c r="C53" s="7" t="s">
        <v>40</v>
      </c>
      <c r="D53" s="146">
        <v>520</v>
      </c>
      <c r="E53" s="146">
        <v>644</v>
      </c>
      <c r="F53" s="146">
        <v>742</v>
      </c>
      <c r="G53" s="146">
        <v>1008</v>
      </c>
      <c r="H53" s="146">
        <v>981</v>
      </c>
      <c r="I53" s="146">
        <v>1103</v>
      </c>
      <c r="J53" s="146">
        <v>1263</v>
      </c>
      <c r="K53" s="146">
        <v>1493</v>
      </c>
      <c r="L53" s="146">
        <v>1690</v>
      </c>
      <c r="M53" s="146">
        <v>1786</v>
      </c>
      <c r="N53" s="146">
        <v>1914</v>
      </c>
      <c r="O53" s="146">
        <v>2604</v>
      </c>
      <c r="P53" s="146">
        <v>2532</v>
      </c>
      <c r="Q53" s="146">
        <v>2315</v>
      </c>
      <c r="R53" s="146">
        <v>2365</v>
      </c>
      <c r="S53" s="155">
        <v>2453</v>
      </c>
    </row>
    <row r="55" spans="3:19" ht="13.15" x14ac:dyDescent="0.4">
      <c r="C55" s="110" t="s">
        <v>133</v>
      </c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8"/>
    </row>
    <row r="56" spans="3:19" x14ac:dyDescent="0.35">
      <c r="C56" s="4" t="s">
        <v>286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7"/>
    </row>
    <row r="57" spans="3:19" x14ac:dyDescent="0.35">
      <c r="C57" s="4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7"/>
    </row>
    <row r="58" spans="3:19" x14ac:dyDescent="0.35">
      <c r="C58" s="4"/>
      <c r="D58" s="16">
        <v>2005</v>
      </c>
      <c r="E58" s="16">
        <v>2006</v>
      </c>
      <c r="F58" s="16">
        <v>2007</v>
      </c>
      <c r="G58" s="16">
        <v>2008</v>
      </c>
      <c r="H58" s="16">
        <v>2009</v>
      </c>
      <c r="I58" s="16">
        <v>2010</v>
      </c>
      <c r="J58" s="16">
        <v>2011</v>
      </c>
      <c r="K58" s="16">
        <v>2012</v>
      </c>
      <c r="L58" s="16">
        <v>2013</v>
      </c>
      <c r="M58" s="16">
        <v>2014</v>
      </c>
      <c r="N58" s="16">
        <v>2015</v>
      </c>
      <c r="O58" s="16">
        <v>2016</v>
      </c>
      <c r="P58" s="16">
        <v>2017</v>
      </c>
      <c r="Q58" s="16">
        <v>2018</v>
      </c>
      <c r="R58" s="17">
        <v>2019</v>
      </c>
    </row>
    <row r="59" spans="3:19" x14ac:dyDescent="0.35">
      <c r="C59" s="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7"/>
    </row>
    <row r="60" spans="3:19" x14ac:dyDescent="0.35">
      <c r="C60" s="4" t="s">
        <v>1</v>
      </c>
      <c r="D60" s="16"/>
      <c r="E60" s="16"/>
      <c r="F60" s="16"/>
      <c r="G60" s="16"/>
      <c r="H60" s="16"/>
      <c r="I60" s="16"/>
      <c r="J60" s="149">
        <v>40539</v>
      </c>
      <c r="K60" s="149">
        <v>40295</v>
      </c>
      <c r="L60" s="149">
        <v>37873</v>
      </c>
      <c r="M60" s="149">
        <v>38233</v>
      </c>
      <c r="N60" s="149">
        <v>37840</v>
      </c>
      <c r="O60" s="149">
        <v>40131</v>
      </c>
      <c r="P60" s="149">
        <v>41502</v>
      </c>
      <c r="Q60" s="149">
        <v>43441</v>
      </c>
      <c r="R60" s="150">
        <v>44781</v>
      </c>
    </row>
    <row r="61" spans="3:19" x14ac:dyDescent="0.35">
      <c r="C61" s="4" t="s">
        <v>0</v>
      </c>
      <c r="D61" s="16"/>
      <c r="E61" s="16"/>
      <c r="F61" s="16"/>
      <c r="G61" s="16"/>
      <c r="H61" s="16"/>
      <c r="I61" s="16"/>
      <c r="J61" s="149">
        <v>12525</v>
      </c>
      <c r="K61" s="149">
        <v>11664</v>
      </c>
      <c r="L61" s="149">
        <v>12682</v>
      </c>
      <c r="M61" s="149">
        <v>12561</v>
      </c>
      <c r="N61" s="149">
        <v>12780</v>
      </c>
      <c r="O61" s="149">
        <v>12211</v>
      </c>
      <c r="P61" s="149">
        <v>12530</v>
      </c>
      <c r="Q61" s="149">
        <v>13023</v>
      </c>
      <c r="R61" s="150">
        <v>12383</v>
      </c>
    </row>
    <row r="62" spans="3:19" x14ac:dyDescent="0.35">
      <c r="C62" s="4" t="s">
        <v>39</v>
      </c>
      <c r="D62" s="16"/>
      <c r="E62" s="16"/>
      <c r="F62" s="16"/>
      <c r="G62" s="16"/>
      <c r="H62" s="16"/>
      <c r="I62" s="16"/>
      <c r="J62" s="149">
        <v>5985</v>
      </c>
      <c r="K62" s="149">
        <v>6017</v>
      </c>
      <c r="L62" s="149">
        <v>6312</v>
      </c>
      <c r="M62" s="149">
        <v>6389</v>
      </c>
      <c r="N62" s="149">
        <v>5704</v>
      </c>
      <c r="O62" s="149">
        <v>6404</v>
      </c>
      <c r="P62" s="149">
        <v>6562</v>
      </c>
      <c r="Q62" s="149">
        <v>6701</v>
      </c>
      <c r="R62" s="150">
        <v>7475</v>
      </c>
    </row>
    <row r="63" spans="3:19" x14ac:dyDescent="0.35">
      <c r="C63" s="7" t="s">
        <v>40</v>
      </c>
      <c r="D63" s="18"/>
      <c r="E63" s="18"/>
      <c r="F63" s="18"/>
      <c r="G63" s="18"/>
      <c r="H63" s="18"/>
      <c r="I63" s="18"/>
      <c r="J63" s="151">
        <v>839</v>
      </c>
      <c r="K63" s="151">
        <v>795</v>
      </c>
      <c r="L63" s="151">
        <v>824</v>
      </c>
      <c r="M63" s="151">
        <v>820</v>
      </c>
      <c r="N63" s="151">
        <v>985</v>
      </c>
      <c r="O63" s="151">
        <v>973</v>
      </c>
      <c r="P63" s="151">
        <v>986</v>
      </c>
      <c r="Q63" s="151">
        <v>932</v>
      </c>
      <c r="R63" s="152">
        <v>945</v>
      </c>
    </row>
    <row r="65" spans="3:18" ht="13.15" x14ac:dyDescent="0.4">
      <c r="C65" s="110" t="s">
        <v>324</v>
      </c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8"/>
    </row>
    <row r="66" spans="3:18" x14ac:dyDescent="0.35">
      <c r="C66" s="4" t="s">
        <v>286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7"/>
    </row>
    <row r="67" spans="3:18" x14ac:dyDescent="0.35">
      <c r="C67" s="4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7"/>
    </row>
    <row r="68" spans="3:18" x14ac:dyDescent="0.35">
      <c r="C68" s="4"/>
      <c r="D68" s="16">
        <v>2005</v>
      </c>
      <c r="E68" s="16">
        <v>2006</v>
      </c>
      <c r="F68" s="16">
        <v>2007</v>
      </c>
      <c r="G68" s="16">
        <v>2008</v>
      </c>
      <c r="H68" s="16">
        <v>2009</v>
      </c>
      <c r="I68" s="16">
        <v>2010</v>
      </c>
      <c r="J68" s="16">
        <v>2011</v>
      </c>
      <c r="K68" s="16">
        <v>2012</v>
      </c>
      <c r="L68" s="16">
        <v>2013</v>
      </c>
      <c r="M68" s="16">
        <v>2014</v>
      </c>
      <c r="N68" s="16">
        <v>2015</v>
      </c>
      <c r="O68" s="16">
        <v>2016</v>
      </c>
      <c r="P68" s="16">
        <v>2017</v>
      </c>
      <c r="Q68" s="16">
        <v>2018</v>
      </c>
      <c r="R68" s="17">
        <v>2019</v>
      </c>
    </row>
    <row r="69" spans="3:18" x14ac:dyDescent="0.35">
      <c r="C69" s="4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7"/>
    </row>
    <row r="70" spans="3:18" x14ac:dyDescent="0.35">
      <c r="C70" s="4" t="s">
        <v>1</v>
      </c>
      <c r="D70" s="16"/>
      <c r="E70" s="16"/>
      <c r="F70" s="16"/>
      <c r="G70" s="16"/>
      <c r="H70" s="16"/>
      <c r="I70" s="16"/>
      <c r="J70" s="154">
        <v>5258</v>
      </c>
      <c r="K70" s="154">
        <v>5233</v>
      </c>
      <c r="L70" s="154">
        <v>4918</v>
      </c>
      <c r="M70" s="154">
        <v>4953</v>
      </c>
      <c r="N70" s="154">
        <v>4903</v>
      </c>
      <c r="O70" s="154">
        <v>5193</v>
      </c>
      <c r="P70" s="154">
        <v>5364</v>
      </c>
      <c r="Q70" s="154">
        <v>5606</v>
      </c>
      <c r="R70" s="153">
        <v>5774</v>
      </c>
    </row>
    <row r="71" spans="3:18" x14ac:dyDescent="0.35">
      <c r="C71" s="4" t="s">
        <v>0</v>
      </c>
      <c r="D71" s="16"/>
      <c r="E71" s="16"/>
      <c r="F71" s="16"/>
      <c r="G71" s="16"/>
      <c r="H71" s="16"/>
      <c r="I71" s="16"/>
      <c r="J71" s="154">
        <v>4580</v>
      </c>
      <c r="K71" s="154">
        <v>4311</v>
      </c>
      <c r="L71" s="154">
        <v>4773</v>
      </c>
      <c r="M71" s="154">
        <v>4733</v>
      </c>
      <c r="N71" s="154">
        <v>4870</v>
      </c>
      <c r="O71" s="154">
        <v>4581</v>
      </c>
      <c r="P71" s="154">
        <v>4762</v>
      </c>
      <c r="Q71" s="154">
        <v>4936</v>
      </c>
      <c r="R71" s="153">
        <v>4427</v>
      </c>
    </row>
    <row r="72" spans="3:18" x14ac:dyDescent="0.35">
      <c r="C72" s="4" t="s">
        <v>39</v>
      </c>
      <c r="D72" s="16"/>
      <c r="E72" s="16"/>
      <c r="F72" s="16"/>
      <c r="G72" s="16"/>
      <c r="H72" s="16"/>
      <c r="I72" s="16"/>
      <c r="J72" s="154">
        <v>1496</v>
      </c>
      <c r="K72" s="154">
        <v>1504</v>
      </c>
      <c r="L72" s="154">
        <v>1578</v>
      </c>
      <c r="M72" s="154">
        <v>1597</v>
      </c>
      <c r="N72" s="154">
        <v>1426</v>
      </c>
      <c r="O72" s="154">
        <v>1601</v>
      </c>
      <c r="P72" s="154">
        <v>1641</v>
      </c>
      <c r="Q72" s="154">
        <v>1675</v>
      </c>
      <c r="R72" s="153">
        <v>1869</v>
      </c>
    </row>
    <row r="73" spans="3:18" x14ac:dyDescent="0.35">
      <c r="C73" s="7" t="s">
        <v>40</v>
      </c>
      <c r="D73" s="18"/>
      <c r="E73" s="18"/>
      <c r="F73" s="18"/>
      <c r="G73" s="18"/>
      <c r="H73" s="18"/>
      <c r="I73" s="18"/>
      <c r="J73" s="18">
        <v>210</v>
      </c>
      <c r="K73" s="18">
        <v>199</v>
      </c>
      <c r="L73" s="18">
        <v>206</v>
      </c>
      <c r="M73" s="18">
        <v>205</v>
      </c>
      <c r="N73" s="18">
        <v>246</v>
      </c>
      <c r="O73" s="18">
        <v>243</v>
      </c>
      <c r="P73" s="18">
        <v>246</v>
      </c>
      <c r="Q73" s="18">
        <v>233</v>
      </c>
      <c r="R73" s="19">
        <v>236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A19F-15FE-4294-9E75-935F8983C429}">
  <sheetPr>
    <tabColor theme="7" tint="-0.499984740745262"/>
  </sheetPr>
  <dimension ref="B1:T131"/>
  <sheetViews>
    <sheetView showGridLines="0" showRowColHeaders="0" zoomScale="85" zoomScaleNormal="85" workbookViewId="0">
      <selection activeCell="B3" sqref="B3"/>
    </sheetView>
  </sheetViews>
  <sheetFormatPr defaultColWidth="9.1328125" defaultRowHeight="12.75" x14ac:dyDescent="0.35"/>
  <cols>
    <col min="1" max="2" width="2.1328125" style="1" customWidth="1"/>
    <col min="3" max="3" width="36.73046875" customWidth="1"/>
    <col min="4" max="19" width="36.73046875" style="128" customWidth="1"/>
    <col min="20" max="21" width="36.73046875" style="1" customWidth="1"/>
    <col min="22" max="16384" width="9.1328125" style="1"/>
  </cols>
  <sheetData>
    <row r="1" spans="2:20" x14ac:dyDescent="0.35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2:20" ht="15.75" customHeight="1" x14ac:dyDescent="0.5">
      <c r="B2" s="90" t="s">
        <v>334</v>
      </c>
      <c r="C2" s="91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3"/>
    </row>
    <row r="3" spans="2:20" x14ac:dyDescent="0.35"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20" ht="13.15" x14ac:dyDescent="0.4"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2:20" x14ac:dyDescent="0.35"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</row>
    <row r="6" spans="2:20" ht="13.15" x14ac:dyDescent="0.4">
      <c r="B6" s="2"/>
      <c r="C6" s="109" t="s">
        <v>6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3"/>
    </row>
    <row r="7" spans="2:20" x14ac:dyDescent="0.35">
      <c r="B7" s="2"/>
      <c r="C7" s="81" t="s">
        <v>5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3"/>
    </row>
    <row r="8" spans="2:20" x14ac:dyDescent="0.35">
      <c r="B8" s="2"/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3"/>
    </row>
    <row r="9" spans="2:20" x14ac:dyDescent="0.35">
      <c r="B9" s="2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3"/>
    </row>
    <row r="10" spans="2:20" x14ac:dyDescent="0.35">
      <c r="B10" s="2"/>
      <c r="C10" s="84"/>
      <c r="D10" s="120">
        <v>2005</v>
      </c>
      <c r="E10" s="120">
        <v>2006</v>
      </c>
      <c r="F10" s="120">
        <v>2007</v>
      </c>
      <c r="G10" s="120">
        <v>2008</v>
      </c>
      <c r="H10" s="120">
        <v>2009</v>
      </c>
      <c r="I10" s="120">
        <v>2010</v>
      </c>
      <c r="J10" s="120">
        <v>2011</v>
      </c>
      <c r="K10" s="120">
        <v>2012</v>
      </c>
      <c r="L10" s="120">
        <v>2013</v>
      </c>
      <c r="M10" s="120">
        <v>2014</v>
      </c>
      <c r="N10" s="120">
        <v>2015</v>
      </c>
      <c r="O10" s="120">
        <v>2016</v>
      </c>
      <c r="P10" s="120">
        <v>2017</v>
      </c>
      <c r="Q10" s="120">
        <v>2018</v>
      </c>
      <c r="R10" s="120">
        <v>2019</v>
      </c>
      <c r="S10" s="161">
        <v>2020</v>
      </c>
      <c r="T10" s="3"/>
    </row>
    <row r="11" spans="2:20" x14ac:dyDescent="0.35">
      <c r="B11" s="2"/>
      <c r="C11" s="84" t="s">
        <v>3</v>
      </c>
      <c r="D11" s="118">
        <v>62845127.356826663</v>
      </c>
      <c r="E11" s="118">
        <v>79667657.156380013</v>
      </c>
      <c r="F11" s="118">
        <v>144585445.05785894</v>
      </c>
      <c r="G11" s="118">
        <v>81576080.787726194</v>
      </c>
      <c r="H11" s="118">
        <v>57946861.763334453</v>
      </c>
      <c r="I11" s="118">
        <v>57295122.216965951</v>
      </c>
      <c r="J11" s="118">
        <v>63549824.882458672</v>
      </c>
      <c r="K11" s="118">
        <v>103628667.84693454</v>
      </c>
      <c r="L11" s="118">
        <v>91272136.895796537</v>
      </c>
      <c r="M11" s="118">
        <v>28384509.387500241</v>
      </c>
      <c r="N11" s="118">
        <v>66742674.098674938</v>
      </c>
      <c r="O11" s="118">
        <v>71067770.914156452</v>
      </c>
      <c r="P11" s="118">
        <v>100756514.45744708</v>
      </c>
      <c r="Q11" s="118">
        <v>89567482.451791823</v>
      </c>
      <c r="R11" s="118">
        <v>206989329.41370779</v>
      </c>
      <c r="S11" s="162">
        <v>560985691.16684735</v>
      </c>
      <c r="T11" s="3"/>
    </row>
    <row r="12" spans="2:20" x14ac:dyDescent="0.35">
      <c r="B12" s="2"/>
      <c r="C12" s="84" t="s">
        <v>4</v>
      </c>
      <c r="D12" s="118">
        <v>463493914.73423791</v>
      </c>
      <c r="E12" s="118">
        <v>335346346.47133392</v>
      </c>
      <c r="F12" s="118">
        <v>514273817.88892257</v>
      </c>
      <c r="G12" s="118">
        <v>514797644.07866788</v>
      </c>
      <c r="H12" s="118">
        <v>344114904.95936376</v>
      </c>
      <c r="I12" s="118">
        <v>891023860.61096942</v>
      </c>
      <c r="J12" s="118">
        <v>804130322.95409536</v>
      </c>
      <c r="K12" s="118">
        <v>484826381.04064292</v>
      </c>
      <c r="L12" s="118">
        <v>353435488.61499625</v>
      </c>
      <c r="M12" s="118">
        <v>447625724.21104127</v>
      </c>
      <c r="N12" s="118">
        <v>737954999.12050867</v>
      </c>
      <c r="O12" s="118">
        <v>1488151167.9034271</v>
      </c>
      <c r="P12" s="118">
        <v>2104282720.4919567</v>
      </c>
      <c r="Q12" s="118">
        <v>4326644514.4747543</v>
      </c>
      <c r="R12" s="118">
        <v>5563645355.3810797</v>
      </c>
      <c r="S12" s="162">
        <v>10619265326.439981</v>
      </c>
      <c r="T12" s="3"/>
    </row>
    <row r="13" spans="2:20" x14ac:dyDescent="0.35">
      <c r="B13" s="2"/>
      <c r="C13" s="84" t="s">
        <v>0</v>
      </c>
      <c r="D13" s="118">
        <v>2476108799.6006894</v>
      </c>
      <c r="E13" s="118">
        <v>2059943834.0303597</v>
      </c>
      <c r="F13" s="118">
        <v>2018466664.7423503</v>
      </c>
      <c r="G13" s="118">
        <v>1989284422.8095534</v>
      </c>
      <c r="H13" s="118">
        <v>1505146790.1145411</v>
      </c>
      <c r="I13" s="118">
        <v>1313929303.8394811</v>
      </c>
      <c r="J13" s="118">
        <v>1269803365.6451116</v>
      </c>
      <c r="K13" s="118">
        <v>1094826073.411695</v>
      </c>
      <c r="L13" s="118">
        <v>1546743957.1693392</v>
      </c>
      <c r="M13" s="118">
        <v>1320757114.7101636</v>
      </c>
      <c r="N13" s="118">
        <v>1809077563.4754119</v>
      </c>
      <c r="O13" s="118">
        <v>1499281206.2951508</v>
      </c>
      <c r="P13" s="118">
        <v>2941491876.8687387</v>
      </c>
      <c r="Q13" s="118">
        <v>2124490094.3750689</v>
      </c>
      <c r="R13" s="118">
        <v>3210224229.9134779</v>
      </c>
      <c r="S13" s="162">
        <v>3261689437.6311803</v>
      </c>
      <c r="T13" s="3"/>
    </row>
    <row r="14" spans="2:20" x14ac:dyDescent="0.35">
      <c r="B14" s="2"/>
      <c r="C14" s="84" t="s">
        <v>1</v>
      </c>
      <c r="D14" s="118">
        <v>4660605277.8282499</v>
      </c>
      <c r="E14" s="118">
        <v>5081399526.2819262</v>
      </c>
      <c r="F14" s="118">
        <v>6054509356.2008696</v>
      </c>
      <c r="G14" s="118">
        <v>5140889111.3840523</v>
      </c>
      <c r="H14" s="118">
        <v>4883517395.2227612</v>
      </c>
      <c r="I14" s="118">
        <v>4334603582.0025835</v>
      </c>
      <c r="J14" s="118">
        <v>5325781011.5783339</v>
      </c>
      <c r="K14" s="118">
        <v>4824476564.9907274</v>
      </c>
      <c r="L14" s="118">
        <v>5590528813.5198689</v>
      </c>
      <c r="M14" s="118">
        <v>7149915506.3112946</v>
      </c>
      <c r="N14" s="118">
        <v>9277862881.6454048</v>
      </c>
      <c r="O14" s="118">
        <v>6162268262.0372658</v>
      </c>
      <c r="P14" s="118">
        <v>8806034257.841856</v>
      </c>
      <c r="Q14" s="118">
        <v>12702294240.498384</v>
      </c>
      <c r="R14" s="118">
        <v>12539749797.131737</v>
      </c>
      <c r="S14" s="162">
        <v>16970106848.021988</v>
      </c>
      <c r="T14" s="3"/>
    </row>
    <row r="15" spans="2:20" x14ac:dyDescent="0.35">
      <c r="B15" s="2"/>
      <c r="C15" s="87" t="s">
        <v>2</v>
      </c>
      <c r="D15" s="119">
        <f>SUM(D11:D14)</f>
        <v>7663053119.5200043</v>
      </c>
      <c r="E15" s="119">
        <f t="shared" ref="E15:S15" si="0">SUM(E11:E14)</f>
        <v>7556357363.9399996</v>
      </c>
      <c r="F15" s="119">
        <f t="shared" si="0"/>
        <v>8731835283.8900013</v>
      </c>
      <c r="G15" s="119">
        <f t="shared" si="0"/>
        <v>7726547259.0599995</v>
      </c>
      <c r="H15" s="119">
        <f t="shared" si="0"/>
        <v>6790725952.0600004</v>
      </c>
      <c r="I15" s="119">
        <f t="shared" si="0"/>
        <v>6596851868.6700001</v>
      </c>
      <c r="J15" s="119">
        <f t="shared" si="0"/>
        <v>7463264525.0599995</v>
      </c>
      <c r="K15" s="119">
        <f t="shared" si="0"/>
        <v>6507757687.29</v>
      </c>
      <c r="L15" s="119">
        <f t="shared" si="0"/>
        <v>7581980396.2000008</v>
      </c>
      <c r="M15" s="119">
        <f t="shared" si="0"/>
        <v>8946682854.6199989</v>
      </c>
      <c r="N15" s="119">
        <f t="shared" si="0"/>
        <v>11891638118.34</v>
      </c>
      <c r="O15" s="119">
        <f t="shared" si="0"/>
        <v>9220768407.1499996</v>
      </c>
      <c r="P15" s="119">
        <f t="shared" si="0"/>
        <v>13952565369.659998</v>
      </c>
      <c r="Q15" s="119">
        <f t="shared" si="0"/>
        <v>19242996331.799999</v>
      </c>
      <c r="R15" s="119">
        <f t="shared" si="0"/>
        <v>21520608711.840004</v>
      </c>
      <c r="S15" s="163">
        <f t="shared" si="0"/>
        <v>31412047303.259995</v>
      </c>
      <c r="T15" s="3"/>
    </row>
    <row r="16" spans="2:20" x14ac:dyDescent="0.35">
      <c r="B16" s="2"/>
      <c r="C16" s="85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3"/>
    </row>
    <row r="17" spans="2:20" ht="13.15" x14ac:dyDescent="0.4">
      <c r="B17" s="2"/>
      <c r="C17" s="109" t="s">
        <v>7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5"/>
      <c r="T17" s="3"/>
    </row>
    <row r="18" spans="2:20" x14ac:dyDescent="0.35">
      <c r="B18" s="2"/>
      <c r="C18" s="81" t="s">
        <v>5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7"/>
      <c r="T18" s="3"/>
    </row>
    <row r="19" spans="2:20" x14ac:dyDescent="0.35">
      <c r="B19" s="2"/>
      <c r="C19" s="84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61"/>
      <c r="T19" s="3"/>
    </row>
    <row r="20" spans="2:20" x14ac:dyDescent="0.35">
      <c r="B20" s="2"/>
      <c r="C20" s="84"/>
      <c r="D20" s="120">
        <v>2005</v>
      </c>
      <c r="E20" s="120">
        <v>2006</v>
      </c>
      <c r="F20" s="120">
        <v>2007</v>
      </c>
      <c r="G20" s="120">
        <v>2008</v>
      </c>
      <c r="H20" s="120">
        <v>2009</v>
      </c>
      <c r="I20" s="120">
        <v>2010</v>
      </c>
      <c r="J20" s="120">
        <v>2011</v>
      </c>
      <c r="K20" s="120">
        <v>2012</v>
      </c>
      <c r="L20" s="120">
        <v>2013</v>
      </c>
      <c r="M20" s="120">
        <v>2014</v>
      </c>
      <c r="N20" s="120">
        <v>2015</v>
      </c>
      <c r="O20" s="120">
        <v>2016</v>
      </c>
      <c r="P20" s="120">
        <v>2017</v>
      </c>
      <c r="Q20" s="120">
        <v>2018</v>
      </c>
      <c r="R20" s="120">
        <v>2019</v>
      </c>
      <c r="S20" s="161">
        <v>2020</v>
      </c>
      <c r="T20" s="3"/>
    </row>
    <row r="21" spans="2:20" x14ac:dyDescent="0.35">
      <c r="B21" s="2"/>
      <c r="C21" s="84" t="s">
        <v>3</v>
      </c>
      <c r="D21" s="118">
        <f>D11/D31</f>
        <v>3307638.2819382455</v>
      </c>
      <c r="E21" s="118">
        <f t="shared" ref="E21:S21" si="1">E11/E31</f>
        <v>3983382.8578190007</v>
      </c>
      <c r="F21" s="118">
        <f t="shared" si="1"/>
        <v>8032524.7254366083</v>
      </c>
      <c r="G21" s="118">
        <f t="shared" si="1"/>
        <v>3884575.2756060092</v>
      </c>
      <c r="H21" s="118">
        <f t="shared" si="1"/>
        <v>4139061.5545238894</v>
      </c>
      <c r="I21" s="118">
        <f t="shared" si="1"/>
        <v>2203658.5468063829</v>
      </c>
      <c r="J21" s="118">
        <f t="shared" si="1"/>
        <v>5777256.8074962432</v>
      </c>
      <c r="K21" s="118">
        <f t="shared" si="1"/>
        <v>6908577.8564623026</v>
      </c>
      <c r="L21" s="118">
        <f t="shared" si="1"/>
        <v>5704508.5559872836</v>
      </c>
      <c r="M21" s="118">
        <f t="shared" si="1"/>
        <v>3153834.3763889158</v>
      </c>
      <c r="N21" s="118">
        <f t="shared" si="1"/>
        <v>9534667.7283821348</v>
      </c>
      <c r="O21" s="118">
        <f t="shared" si="1"/>
        <v>4441735.6821347782</v>
      </c>
      <c r="P21" s="118">
        <f t="shared" si="1"/>
        <v>5037825.7228723541</v>
      </c>
      <c r="Q21" s="118">
        <f t="shared" si="1"/>
        <v>6889806.3424455244</v>
      </c>
      <c r="R21" s="118">
        <f t="shared" si="1"/>
        <v>6272403.9216275085</v>
      </c>
      <c r="S21" s="162">
        <f t="shared" si="1"/>
        <v>14384248.491457624</v>
      </c>
      <c r="T21" s="3"/>
    </row>
    <row r="22" spans="2:20" x14ac:dyDescent="0.35">
      <c r="B22" s="2"/>
      <c r="C22" s="84" t="s">
        <v>4</v>
      </c>
      <c r="D22" s="118">
        <f t="shared" ref="D22:S25" si="2">D12/D32</f>
        <v>3961486.4507199819</v>
      </c>
      <c r="E22" s="118">
        <f t="shared" si="2"/>
        <v>3767936.4772059992</v>
      </c>
      <c r="F22" s="118">
        <f t="shared" si="2"/>
        <v>3925754.3350299434</v>
      </c>
      <c r="G22" s="118">
        <f t="shared" si="2"/>
        <v>4362691.8989717616</v>
      </c>
      <c r="H22" s="118">
        <f t="shared" si="2"/>
        <v>3866459.6062849863</v>
      </c>
      <c r="I22" s="118">
        <f t="shared" si="2"/>
        <v>6961123.9110231986</v>
      </c>
      <c r="J22" s="118">
        <f t="shared" si="2"/>
        <v>7179735.0263758516</v>
      </c>
      <c r="K22" s="118">
        <f t="shared" si="2"/>
        <v>5912516.8419590602</v>
      </c>
      <c r="L22" s="118">
        <f t="shared" si="2"/>
        <v>4109714.9838953051</v>
      </c>
      <c r="M22" s="118">
        <f t="shared" si="2"/>
        <v>5968342.9894805504</v>
      </c>
      <c r="N22" s="118">
        <f t="shared" si="2"/>
        <v>6416999.9923522491</v>
      </c>
      <c r="O22" s="118">
        <f t="shared" si="2"/>
        <v>10479937.80213681</v>
      </c>
      <c r="P22" s="118">
        <f t="shared" si="2"/>
        <v>11625871.383933462</v>
      </c>
      <c r="Q22" s="118">
        <f t="shared" si="2"/>
        <v>12800723.415605782</v>
      </c>
      <c r="R22" s="118">
        <f t="shared" si="2"/>
        <v>13636385.674953626</v>
      </c>
      <c r="S22" s="162">
        <f t="shared" si="2"/>
        <v>13045780.499312017</v>
      </c>
      <c r="T22" s="3"/>
    </row>
    <row r="23" spans="2:20" x14ac:dyDescent="0.35">
      <c r="B23" s="2"/>
      <c r="C23" s="84" t="s">
        <v>0</v>
      </c>
      <c r="D23" s="118">
        <f t="shared" si="2"/>
        <v>4461457.2965778187</v>
      </c>
      <c r="E23" s="118">
        <f t="shared" si="2"/>
        <v>4195404.9572919747</v>
      </c>
      <c r="F23" s="118">
        <f t="shared" si="2"/>
        <v>5123011.8394475896</v>
      </c>
      <c r="G23" s="118">
        <f t="shared" si="2"/>
        <v>5465067.0956306411</v>
      </c>
      <c r="H23" s="118">
        <f t="shared" si="2"/>
        <v>4574914.2556672981</v>
      </c>
      <c r="I23" s="118">
        <f t="shared" si="2"/>
        <v>4018132.427643673</v>
      </c>
      <c r="J23" s="118">
        <f t="shared" si="2"/>
        <v>4348641.66316819</v>
      </c>
      <c r="K23" s="118">
        <f t="shared" si="2"/>
        <v>3421331.4794115471</v>
      </c>
      <c r="L23" s="118">
        <f t="shared" si="2"/>
        <v>5190415.9636555007</v>
      </c>
      <c r="M23" s="118">
        <f t="shared" si="2"/>
        <v>4554334.8783109086</v>
      </c>
      <c r="N23" s="118">
        <f t="shared" si="2"/>
        <v>6347640.5735979369</v>
      </c>
      <c r="O23" s="118">
        <f t="shared" si="2"/>
        <v>5169935.1941212099</v>
      </c>
      <c r="P23" s="118">
        <f t="shared" si="2"/>
        <v>9550298.3015218787</v>
      </c>
      <c r="Q23" s="118">
        <f t="shared" si="2"/>
        <v>7614659.8364697807</v>
      </c>
      <c r="R23" s="118">
        <f t="shared" si="2"/>
        <v>10422805.941277526</v>
      </c>
      <c r="S23" s="162">
        <f t="shared" si="2"/>
        <v>9162048.982110057</v>
      </c>
      <c r="T23" s="3"/>
    </row>
    <row r="24" spans="2:20" x14ac:dyDescent="0.35">
      <c r="B24" s="2"/>
      <c r="C24" s="84" t="s">
        <v>1</v>
      </c>
      <c r="D24" s="118">
        <f t="shared" si="2"/>
        <v>3839048.8285240941</v>
      </c>
      <c r="E24" s="118">
        <f t="shared" si="2"/>
        <v>4052152.7322822376</v>
      </c>
      <c r="F24" s="118">
        <f t="shared" si="2"/>
        <v>4093650.6803251314</v>
      </c>
      <c r="G24" s="118">
        <f t="shared" si="2"/>
        <v>3813715.9580000388</v>
      </c>
      <c r="H24" s="118">
        <f t="shared" si="2"/>
        <v>4356393.7513137925</v>
      </c>
      <c r="I24" s="118">
        <f t="shared" si="2"/>
        <v>3808966.2407755568</v>
      </c>
      <c r="J24" s="118">
        <f t="shared" si="2"/>
        <v>4917618.6625838727</v>
      </c>
      <c r="K24" s="118">
        <f t="shared" si="2"/>
        <v>4530024.943653265</v>
      </c>
      <c r="L24" s="118">
        <f t="shared" si="2"/>
        <v>5234577.5407489408</v>
      </c>
      <c r="M24" s="118">
        <f t="shared" si="2"/>
        <v>7002855.5399718853</v>
      </c>
      <c r="N24" s="118">
        <f t="shared" si="2"/>
        <v>7862595.6624113601</v>
      </c>
      <c r="O24" s="118">
        <f t="shared" si="2"/>
        <v>7327310.6564057861</v>
      </c>
      <c r="P24" s="118">
        <f t="shared" si="2"/>
        <v>9499497.5812749248</v>
      </c>
      <c r="Q24" s="118">
        <f t="shared" si="2"/>
        <v>11412663.288857488</v>
      </c>
      <c r="R24" s="118">
        <f t="shared" si="2"/>
        <v>12221978.359777521</v>
      </c>
      <c r="S24" s="162">
        <f t="shared" si="2"/>
        <v>12769079.644862294</v>
      </c>
      <c r="T24" s="3"/>
    </row>
    <row r="25" spans="2:20" x14ac:dyDescent="0.35">
      <c r="B25" s="2"/>
      <c r="C25" s="87" t="s">
        <v>12</v>
      </c>
      <c r="D25" s="119">
        <f t="shared" si="2"/>
        <v>4022600.0627401597</v>
      </c>
      <c r="E25" s="119">
        <f t="shared" si="2"/>
        <v>4075705.1585436892</v>
      </c>
      <c r="F25" s="119">
        <f t="shared" si="2"/>
        <v>4318415.0761078149</v>
      </c>
      <c r="G25" s="119">
        <f t="shared" si="2"/>
        <v>4174255.6775040515</v>
      </c>
      <c r="H25" s="119">
        <f t="shared" si="2"/>
        <v>4372650.3232839666</v>
      </c>
      <c r="I25" s="119">
        <f t="shared" si="2"/>
        <v>4074645.9967078445</v>
      </c>
      <c r="J25" s="119">
        <f t="shared" si="2"/>
        <v>4982152.5534445923</v>
      </c>
      <c r="K25" s="119">
        <f t="shared" si="2"/>
        <v>4391199.5190890692</v>
      </c>
      <c r="L25" s="119">
        <f t="shared" si="2"/>
        <v>5164836.7821525894</v>
      </c>
      <c r="M25" s="119">
        <f t="shared" si="2"/>
        <v>6413392.727326164</v>
      </c>
      <c r="N25" s="119">
        <f t="shared" si="2"/>
        <v>7493155.7141398871</v>
      </c>
      <c r="O25" s="119">
        <f t="shared" si="2"/>
        <v>7153427.7790147401</v>
      </c>
      <c r="P25" s="119">
        <f t="shared" si="2"/>
        <v>9716271.1487882994</v>
      </c>
      <c r="Q25" s="119">
        <f t="shared" si="2"/>
        <v>11040158.538037864</v>
      </c>
      <c r="R25" s="119">
        <f t="shared" si="2"/>
        <v>12124286.598219721</v>
      </c>
      <c r="S25" s="163">
        <f>S15/S35</f>
        <v>12376693.184893616</v>
      </c>
      <c r="T25" s="3"/>
    </row>
    <row r="26" spans="2:20" x14ac:dyDescent="0.35">
      <c r="B26" s="2"/>
      <c r="C26" s="85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3"/>
    </row>
    <row r="27" spans="2:20" ht="13.15" x14ac:dyDescent="0.4">
      <c r="B27" s="2"/>
      <c r="C27" s="109" t="s">
        <v>8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5"/>
      <c r="T27" s="3"/>
    </row>
    <row r="28" spans="2:20" x14ac:dyDescent="0.35">
      <c r="B28" s="2"/>
      <c r="C28" s="81" t="s">
        <v>5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7"/>
      <c r="T28" s="3"/>
    </row>
    <row r="29" spans="2:20" x14ac:dyDescent="0.35">
      <c r="B29" s="2"/>
      <c r="C29" s="84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61"/>
      <c r="T29" s="3"/>
    </row>
    <row r="30" spans="2:20" x14ac:dyDescent="0.35">
      <c r="B30" s="2"/>
      <c r="C30" s="84"/>
      <c r="D30" s="120">
        <v>2005</v>
      </c>
      <c r="E30" s="120">
        <v>2006</v>
      </c>
      <c r="F30" s="120">
        <v>2007</v>
      </c>
      <c r="G30" s="120">
        <v>2008</v>
      </c>
      <c r="H30" s="120">
        <v>2009</v>
      </c>
      <c r="I30" s="120">
        <v>2010</v>
      </c>
      <c r="J30" s="120">
        <v>2011</v>
      </c>
      <c r="K30" s="120">
        <v>2012</v>
      </c>
      <c r="L30" s="120">
        <v>2013</v>
      </c>
      <c r="M30" s="120">
        <v>2014</v>
      </c>
      <c r="N30" s="120">
        <v>2015</v>
      </c>
      <c r="O30" s="120">
        <v>2016</v>
      </c>
      <c r="P30" s="120">
        <v>2017</v>
      </c>
      <c r="Q30" s="120">
        <v>2018</v>
      </c>
      <c r="R30" s="120">
        <v>2019</v>
      </c>
      <c r="S30" s="161">
        <v>2020</v>
      </c>
      <c r="T30" s="3"/>
    </row>
    <row r="31" spans="2:20" x14ac:dyDescent="0.35">
      <c r="B31" s="2"/>
      <c r="C31" s="84" t="s">
        <v>3</v>
      </c>
      <c r="D31" s="118">
        <v>19</v>
      </c>
      <c r="E31" s="118">
        <v>20</v>
      </c>
      <c r="F31" s="118">
        <v>18</v>
      </c>
      <c r="G31" s="118">
        <v>21</v>
      </c>
      <c r="H31" s="118">
        <v>14</v>
      </c>
      <c r="I31" s="118">
        <v>26</v>
      </c>
      <c r="J31" s="118">
        <v>11</v>
      </c>
      <c r="K31" s="118">
        <v>15</v>
      </c>
      <c r="L31" s="118">
        <v>16</v>
      </c>
      <c r="M31" s="118">
        <v>9</v>
      </c>
      <c r="N31" s="118">
        <v>7</v>
      </c>
      <c r="O31" s="118">
        <v>16</v>
      </c>
      <c r="P31" s="118">
        <v>20</v>
      </c>
      <c r="Q31" s="118">
        <v>13</v>
      </c>
      <c r="R31" s="118">
        <v>33</v>
      </c>
      <c r="S31" s="162">
        <v>39</v>
      </c>
      <c r="T31" s="3"/>
    </row>
    <row r="32" spans="2:20" x14ac:dyDescent="0.35">
      <c r="B32" s="2"/>
      <c r="C32" s="84" t="s">
        <v>4</v>
      </c>
      <c r="D32" s="118">
        <v>117</v>
      </c>
      <c r="E32" s="118">
        <v>89</v>
      </c>
      <c r="F32" s="118">
        <v>131</v>
      </c>
      <c r="G32" s="118">
        <v>118</v>
      </c>
      <c r="H32" s="118">
        <v>89</v>
      </c>
      <c r="I32" s="118">
        <v>128</v>
      </c>
      <c r="J32" s="118">
        <v>112</v>
      </c>
      <c r="K32" s="118">
        <v>82</v>
      </c>
      <c r="L32" s="118">
        <v>86</v>
      </c>
      <c r="M32" s="118">
        <v>75</v>
      </c>
      <c r="N32" s="118">
        <v>115</v>
      </c>
      <c r="O32" s="118">
        <v>142</v>
      </c>
      <c r="P32" s="118">
        <v>181</v>
      </c>
      <c r="Q32" s="118">
        <v>338</v>
      </c>
      <c r="R32" s="118">
        <v>408</v>
      </c>
      <c r="S32" s="162">
        <v>814</v>
      </c>
      <c r="T32" s="3"/>
    </row>
    <row r="33" spans="2:20" x14ac:dyDescent="0.35">
      <c r="B33" s="2"/>
      <c r="C33" s="84" t="s">
        <v>0</v>
      </c>
      <c r="D33" s="118">
        <v>555</v>
      </c>
      <c r="E33" s="118">
        <v>491</v>
      </c>
      <c r="F33" s="118">
        <v>394</v>
      </c>
      <c r="G33" s="118">
        <v>364</v>
      </c>
      <c r="H33" s="118">
        <v>329</v>
      </c>
      <c r="I33" s="118">
        <v>327</v>
      </c>
      <c r="J33" s="118">
        <v>292</v>
      </c>
      <c r="K33" s="118">
        <v>320</v>
      </c>
      <c r="L33" s="118">
        <v>298</v>
      </c>
      <c r="M33" s="118">
        <v>290</v>
      </c>
      <c r="N33" s="118">
        <v>285</v>
      </c>
      <c r="O33" s="118">
        <v>290</v>
      </c>
      <c r="P33" s="118">
        <v>308</v>
      </c>
      <c r="Q33" s="118">
        <v>279</v>
      </c>
      <c r="R33" s="118">
        <v>308</v>
      </c>
      <c r="S33" s="162">
        <v>356</v>
      </c>
      <c r="T33" s="3"/>
    </row>
    <row r="34" spans="2:20" x14ac:dyDescent="0.35">
      <c r="B34" s="2"/>
      <c r="C34" s="84" t="s">
        <v>1</v>
      </c>
      <c r="D34" s="118">
        <v>1214</v>
      </c>
      <c r="E34" s="118">
        <v>1254</v>
      </c>
      <c r="F34" s="118">
        <v>1479</v>
      </c>
      <c r="G34" s="118">
        <v>1348</v>
      </c>
      <c r="H34" s="118">
        <v>1121</v>
      </c>
      <c r="I34" s="118">
        <v>1138</v>
      </c>
      <c r="J34" s="118">
        <v>1083</v>
      </c>
      <c r="K34" s="118">
        <v>1065</v>
      </c>
      <c r="L34" s="118">
        <v>1068</v>
      </c>
      <c r="M34" s="118">
        <v>1021</v>
      </c>
      <c r="N34" s="118">
        <v>1180</v>
      </c>
      <c r="O34" s="118">
        <v>841</v>
      </c>
      <c r="P34" s="118">
        <v>927</v>
      </c>
      <c r="Q34" s="118">
        <v>1113</v>
      </c>
      <c r="R34" s="118">
        <v>1026</v>
      </c>
      <c r="S34" s="162">
        <v>1329</v>
      </c>
      <c r="T34" s="3"/>
    </row>
    <row r="35" spans="2:20" x14ac:dyDescent="0.35">
      <c r="B35" s="2"/>
      <c r="C35" s="87" t="s">
        <v>2</v>
      </c>
      <c r="D35" s="119">
        <f>SUM(D31:D34)</f>
        <v>1905</v>
      </c>
      <c r="E35" s="119">
        <f t="shared" ref="E35" si="3">SUM(E31:E34)</f>
        <v>1854</v>
      </c>
      <c r="F35" s="119">
        <f t="shared" ref="F35" si="4">SUM(F31:F34)</f>
        <v>2022</v>
      </c>
      <c r="G35" s="119">
        <f t="shared" ref="G35" si="5">SUM(G31:G34)</f>
        <v>1851</v>
      </c>
      <c r="H35" s="119">
        <f t="shared" ref="H35" si="6">SUM(H31:H34)</f>
        <v>1553</v>
      </c>
      <c r="I35" s="119">
        <f t="shared" ref="I35" si="7">SUM(I31:I34)</f>
        <v>1619</v>
      </c>
      <c r="J35" s="119">
        <f t="shared" ref="J35" si="8">SUM(J31:J34)</f>
        <v>1498</v>
      </c>
      <c r="K35" s="119">
        <f t="shared" ref="K35" si="9">SUM(K31:K34)</f>
        <v>1482</v>
      </c>
      <c r="L35" s="119">
        <f t="shared" ref="L35" si="10">SUM(L31:L34)</f>
        <v>1468</v>
      </c>
      <c r="M35" s="119">
        <f t="shared" ref="M35" si="11">SUM(M31:M34)</f>
        <v>1395</v>
      </c>
      <c r="N35" s="119">
        <f t="shared" ref="N35" si="12">SUM(N31:N34)</f>
        <v>1587</v>
      </c>
      <c r="O35" s="119">
        <f t="shared" ref="O35" si="13">SUM(O31:O34)</f>
        <v>1289</v>
      </c>
      <c r="P35" s="119">
        <f t="shared" ref="P35" si="14">SUM(P31:P34)</f>
        <v>1436</v>
      </c>
      <c r="Q35" s="119">
        <f t="shared" ref="Q35" si="15">SUM(Q31:Q34)</f>
        <v>1743</v>
      </c>
      <c r="R35" s="119">
        <f t="shared" ref="R35" si="16">SUM(R31:R34)</f>
        <v>1775</v>
      </c>
      <c r="S35" s="163">
        <f t="shared" ref="S35" si="17">SUM(S31:S34)</f>
        <v>2538</v>
      </c>
      <c r="T35" s="3"/>
    </row>
    <row r="36" spans="2:20" x14ac:dyDescent="0.35">
      <c r="B36" s="8"/>
      <c r="C36" s="8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0"/>
    </row>
    <row r="37" spans="2:20" x14ac:dyDescent="0.35">
      <c r="C37" s="8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</row>
    <row r="38" spans="2:20" ht="13.15" x14ac:dyDescent="0.4">
      <c r="B38" s="25" t="s">
        <v>22</v>
      </c>
      <c r="C38" s="105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27"/>
    </row>
    <row r="39" spans="2:20" x14ac:dyDescent="0.35">
      <c r="B39" s="2"/>
      <c r="C39" s="85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3"/>
    </row>
    <row r="40" spans="2:20" ht="13.15" x14ac:dyDescent="0.4">
      <c r="B40" s="2"/>
      <c r="C40" s="109" t="s">
        <v>9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5"/>
      <c r="T40" s="3"/>
    </row>
    <row r="41" spans="2:20" x14ac:dyDescent="0.35">
      <c r="B41" s="2"/>
      <c r="C41" s="81" t="s">
        <v>5</v>
      </c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7"/>
      <c r="T41" s="3"/>
    </row>
    <row r="42" spans="2:20" x14ac:dyDescent="0.35">
      <c r="B42" s="2"/>
      <c r="C42" s="84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61"/>
      <c r="T42" s="3"/>
    </row>
    <row r="43" spans="2:20" x14ac:dyDescent="0.35">
      <c r="B43" s="2"/>
      <c r="C43" s="84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61"/>
      <c r="T43" s="3"/>
    </row>
    <row r="44" spans="2:20" x14ac:dyDescent="0.35">
      <c r="B44" s="2"/>
      <c r="C44" s="84"/>
      <c r="D44" s="120">
        <v>2005</v>
      </c>
      <c r="E44" s="120">
        <v>2006</v>
      </c>
      <c r="F44" s="120">
        <v>2007</v>
      </c>
      <c r="G44" s="120">
        <v>2008</v>
      </c>
      <c r="H44" s="120">
        <v>2009</v>
      </c>
      <c r="I44" s="120">
        <v>2010</v>
      </c>
      <c r="J44" s="120">
        <v>2011</v>
      </c>
      <c r="K44" s="120">
        <v>2012</v>
      </c>
      <c r="L44" s="120">
        <v>2013</v>
      </c>
      <c r="M44" s="120">
        <v>2014</v>
      </c>
      <c r="N44" s="120">
        <v>2015</v>
      </c>
      <c r="O44" s="120">
        <v>2016</v>
      </c>
      <c r="P44" s="120">
        <v>2017</v>
      </c>
      <c r="Q44" s="120">
        <v>2018</v>
      </c>
      <c r="R44" s="120">
        <v>2019</v>
      </c>
      <c r="S44" s="161">
        <v>2020</v>
      </c>
      <c r="T44" s="3"/>
    </row>
    <row r="45" spans="2:20" x14ac:dyDescent="0.35">
      <c r="B45" s="2"/>
      <c r="C45" s="84" t="s">
        <v>3</v>
      </c>
      <c r="D45" s="118">
        <v>66238208.399999991</v>
      </c>
      <c r="E45" s="118">
        <v>56481963.300000004</v>
      </c>
      <c r="F45" s="118">
        <v>166806606.39000002</v>
      </c>
      <c r="G45" s="118">
        <v>109386949.77000001</v>
      </c>
      <c r="H45" s="118">
        <v>67120126.789999992</v>
      </c>
      <c r="I45" s="118">
        <v>97408247.719999999</v>
      </c>
      <c r="J45" s="118">
        <v>65354479.289999992</v>
      </c>
      <c r="K45" s="118">
        <v>71314228.920000002</v>
      </c>
      <c r="L45" s="118">
        <v>36848989.310000002</v>
      </c>
      <c r="M45" s="118">
        <v>128637094.60000001</v>
      </c>
      <c r="N45" s="118">
        <v>36429267.600000001</v>
      </c>
      <c r="O45" s="118">
        <v>88982260.890000001</v>
      </c>
      <c r="P45" s="118">
        <v>100226562.48999999</v>
      </c>
      <c r="Q45" s="118">
        <v>62576335.739999995</v>
      </c>
      <c r="R45" s="118">
        <v>115902343.20000002</v>
      </c>
      <c r="S45" s="162">
        <v>219602258.39999998</v>
      </c>
      <c r="T45" s="3"/>
    </row>
    <row r="46" spans="2:20" x14ac:dyDescent="0.35">
      <c r="B46" s="2"/>
      <c r="C46" s="84" t="s">
        <v>4</v>
      </c>
      <c r="D46" s="118">
        <v>317928843.95999998</v>
      </c>
      <c r="E46" s="118">
        <v>348126542.81999999</v>
      </c>
      <c r="F46" s="118">
        <v>601086917.75</v>
      </c>
      <c r="G46" s="118">
        <v>728799037.25999999</v>
      </c>
      <c r="H46" s="118">
        <v>433771991.58999997</v>
      </c>
      <c r="I46" s="118">
        <v>858638994.57000005</v>
      </c>
      <c r="J46" s="118">
        <v>794731874.5</v>
      </c>
      <c r="K46" s="118">
        <v>532440897.78000003</v>
      </c>
      <c r="L46" s="118">
        <v>309903034</v>
      </c>
      <c r="M46" s="118">
        <v>273551485.97000003</v>
      </c>
      <c r="N46" s="118">
        <v>622640375.25</v>
      </c>
      <c r="O46" s="118">
        <v>1176414476.8200002</v>
      </c>
      <c r="P46" s="118">
        <v>1162065080.01</v>
      </c>
      <c r="Q46" s="118">
        <v>3391638430.0799999</v>
      </c>
      <c r="R46" s="118">
        <v>5230796270.5600004</v>
      </c>
      <c r="S46" s="162">
        <v>9637610716.3199997</v>
      </c>
      <c r="T46" s="3"/>
    </row>
    <row r="47" spans="2:20" x14ac:dyDescent="0.35">
      <c r="B47" s="2"/>
      <c r="C47" s="84" t="s">
        <v>0</v>
      </c>
      <c r="D47" s="118">
        <v>2321114943.5999999</v>
      </c>
      <c r="E47" s="118">
        <v>1853036829</v>
      </c>
      <c r="F47" s="118">
        <v>1698985581.5700002</v>
      </c>
      <c r="G47" s="118">
        <v>1515069854.55</v>
      </c>
      <c r="H47" s="118">
        <v>1512474399.8099999</v>
      </c>
      <c r="I47" s="118">
        <v>1226664595.3100002</v>
      </c>
      <c r="J47" s="118">
        <v>1153386973.3899999</v>
      </c>
      <c r="K47" s="118">
        <v>967685455.56000006</v>
      </c>
      <c r="L47" s="118">
        <v>1257119849.02</v>
      </c>
      <c r="M47" s="118">
        <v>1262174137.6300001</v>
      </c>
      <c r="N47" s="118">
        <v>2450225611.71</v>
      </c>
      <c r="O47" s="118">
        <v>1392541265.9100001</v>
      </c>
      <c r="P47" s="118">
        <v>2015918654.1699998</v>
      </c>
      <c r="Q47" s="118">
        <v>2337712724.04</v>
      </c>
      <c r="R47" s="118">
        <v>2221122279.0400004</v>
      </c>
      <c r="S47" s="162">
        <v>3164111835.7199998</v>
      </c>
      <c r="T47" s="3"/>
    </row>
    <row r="48" spans="2:20" x14ac:dyDescent="0.35">
      <c r="B48" s="2"/>
      <c r="C48" s="84" t="s">
        <v>1</v>
      </c>
      <c r="D48" s="118">
        <v>4957771122.3199997</v>
      </c>
      <c r="E48" s="118">
        <v>5298712028.8199997</v>
      </c>
      <c r="F48" s="118">
        <v>6264956176.8100004</v>
      </c>
      <c r="G48" s="118">
        <v>5373291416.0100002</v>
      </c>
      <c r="H48" s="118">
        <v>4777359433.8699999</v>
      </c>
      <c r="I48" s="118">
        <v>4414140028.4099998</v>
      </c>
      <c r="J48" s="118">
        <v>5449791197.8799992</v>
      </c>
      <c r="K48" s="118">
        <v>4936317103.7399998</v>
      </c>
      <c r="L48" s="118">
        <v>5978108525.2000008</v>
      </c>
      <c r="M48" s="118">
        <v>7282320136.4200001</v>
      </c>
      <c r="N48" s="118">
        <v>8782342863.7800007</v>
      </c>
      <c r="O48" s="118">
        <v>6562830403.5300007</v>
      </c>
      <c r="P48" s="118">
        <v>10674355072.99</v>
      </c>
      <c r="Q48" s="118">
        <v>13451068840.76</v>
      </c>
      <c r="R48" s="118">
        <v>13952787819.040001</v>
      </c>
      <c r="S48" s="162">
        <v>18390722491.68</v>
      </c>
      <c r="T48" s="3"/>
    </row>
    <row r="49" spans="2:20" x14ac:dyDescent="0.35">
      <c r="B49" s="2"/>
      <c r="C49" s="87" t="s">
        <v>2</v>
      </c>
      <c r="D49" s="119">
        <f>SUM(D45:D48)</f>
        <v>7663053118.2799997</v>
      </c>
      <c r="E49" s="119">
        <f t="shared" ref="E49" si="18">SUM(E45:E48)</f>
        <v>7556357363.9399996</v>
      </c>
      <c r="F49" s="119">
        <f t="shared" ref="F49" si="19">SUM(F45:F48)</f>
        <v>8731835282.5200005</v>
      </c>
      <c r="G49" s="119">
        <f t="shared" ref="G49" si="20">SUM(G45:G48)</f>
        <v>7726547257.5900002</v>
      </c>
      <c r="H49" s="119">
        <f t="shared" ref="H49" si="21">SUM(H45:H48)</f>
        <v>6790725952.0599995</v>
      </c>
      <c r="I49" s="119">
        <f t="shared" ref="I49" si="22">SUM(I45:I48)</f>
        <v>6596851866.0100002</v>
      </c>
      <c r="J49" s="119">
        <f t="shared" ref="J49" si="23">SUM(J45:J48)</f>
        <v>7463264525.0599995</v>
      </c>
      <c r="K49" s="119">
        <f t="shared" ref="K49" si="24">SUM(K45:K48)</f>
        <v>6507757686</v>
      </c>
      <c r="L49" s="119">
        <f t="shared" ref="L49" si="25">SUM(L45:L48)</f>
        <v>7581980397.5300007</v>
      </c>
      <c r="M49" s="119">
        <f t="shared" ref="M49" si="26">SUM(M45:M48)</f>
        <v>8946682854.6200008</v>
      </c>
      <c r="N49" s="119">
        <f t="shared" ref="N49" si="27">SUM(N45:N48)</f>
        <v>11891638118.34</v>
      </c>
      <c r="O49" s="119">
        <f t="shared" ref="O49" si="28">SUM(O45:O48)</f>
        <v>9220768407.1500015</v>
      </c>
      <c r="P49" s="119">
        <f t="shared" ref="P49" si="29">SUM(P45:P48)</f>
        <v>13952565369.66</v>
      </c>
      <c r="Q49" s="119">
        <f t="shared" ref="Q49" si="30">SUM(Q45:Q48)</f>
        <v>19242996330.619999</v>
      </c>
      <c r="R49" s="119">
        <f t="shared" ref="R49" si="31">SUM(R45:R48)</f>
        <v>21520608711.840004</v>
      </c>
      <c r="S49" s="163">
        <f t="shared" ref="S49" si="32">SUM(S45:S48)</f>
        <v>31412047302.119999</v>
      </c>
      <c r="T49" s="3"/>
    </row>
    <row r="50" spans="2:20" x14ac:dyDescent="0.35">
      <c r="B50" s="2"/>
      <c r="C50" s="85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3"/>
    </row>
    <row r="51" spans="2:20" ht="13.15" x14ac:dyDescent="0.4">
      <c r="B51" s="2"/>
      <c r="C51" s="109" t="s">
        <v>10</v>
      </c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5"/>
      <c r="T51" s="3"/>
    </row>
    <row r="52" spans="2:20" x14ac:dyDescent="0.35">
      <c r="B52" s="2"/>
      <c r="C52" s="81" t="s">
        <v>5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7"/>
      <c r="T52" s="3"/>
    </row>
    <row r="53" spans="2:20" x14ac:dyDescent="0.35">
      <c r="B53" s="2"/>
      <c r="C53" s="84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61"/>
      <c r="T53" s="3"/>
    </row>
    <row r="54" spans="2:20" x14ac:dyDescent="0.35">
      <c r="B54" s="2"/>
      <c r="C54" s="84"/>
      <c r="D54" s="120">
        <v>2005</v>
      </c>
      <c r="E54" s="120">
        <v>2006</v>
      </c>
      <c r="F54" s="120">
        <v>2007</v>
      </c>
      <c r="G54" s="120">
        <v>2008</v>
      </c>
      <c r="H54" s="120">
        <v>2009</v>
      </c>
      <c r="I54" s="120">
        <v>2010</v>
      </c>
      <c r="J54" s="120">
        <v>2011</v>
      </c>
      <c r="K54" s="120">
        <v>2012</v>
      </c>
      <c r="L54" s="120">
        <v>2013</v>
      </c>
      <c r="M54" s="120">
        <v>2014</v>
      </c>
      <c r="N54" s="120">
        <v>2015</v>
      </c>
      <c r="O54" s="120">
        <v>2016</v>
      </c>
      <c r="P54" s="120">
        <v>2017</v>
      </c>
      <c r="Q54" s="120">
        <v>2018</v>
      </c>
      <c r="R54" s="120">
        <v>2019</v>
      </c>
      <c r="S54" s="161">
        <v>2020</v>
      </c>
      <c r="T54" s="3"/>
    </row>
    <row r="55" spans="2:20" x14ac:dyDescent="0.35">
      <c r="B55" s="2"/>
      <c r="C55" s="84" t="s">
        <v>3</v>
      </c>
      <c r="D55" s="118">
        <f>D45/D65</f>
        <v>4139888.0249999994</v>
      </c>
      <c r="E55" s="118">
        <f t="shared" ref="E55:S55" si="33">E45/E65</f>
        <v>2972734.9105263161</v>
      </c>
      <c r="F55" s="118">
        <f t="shared" si="33"/>
        <v>9267033.6883333344</v>
      </c>
      <c r="G55" s="118">
        <f t="shared" si="33"/>
        <v>6836684.3606250007</v>
      </c>
      <c r="H55" s="118">
        <f t="shared" si="33"/>
        <v>3948242.7523529408</v>
      </c>
      <c r="I55" s="118">
        <f t="shared" si="33"/>
        <v>3478865.9899999998</v>
      </c>
      <c r="J55" s="118">
        <f t="shared" si="33"/>
        <v>6535447.9289999995</v>
      </c>
      <c r="K55" s="118">
        <f t="shared" si="33"/>
        <v>3565711.446</v>
      </c>
      <c r="L55" s="118">
        <f t="shared" si="33"/>
        <v>5264141.33</v>
      </c>
      <c r="M55" s="118">
        <f t="shared" si="33"/>
        <v>9895161.1230769232</v>
      </c>
      <c r="N55" s="118">
        <f t="shared" si="33"/>
        <v>7285853.5200000005</v>
      </c>
      <c r="O55" s="118">
        <f t="shared" si="33"/>
        <v>4943458.9383333335</v>
      </c>
      <c r="P55" s="118">
        <f t="shared" si="33"/>
        <v>4176106.7704166663</v>
      </c>
      <c r="Q55" s="118">
        <f t="shared" si="33"/>
        <v>15644083.934999999</v>
      </c>
      <c r="R55" s="118">
        <f t="shared" si="33"/>
        <v>3996632.5241379319</v>
      </c>
      <c r="S55" s="162">
        <f t="shared" si="33"/>
        <v>5490056.459999999</v>
      </c>
      <c r="T55" s="3"/>
    </row>
    <row r="56" spans="2:20" x14ac:dyDescent="0.35">
      <c r="B56" s="2"/>
      <c r="C56" s="84" t="s">
        <v>4</v>
      </c>
      <c r="D56" s="118">
        <f t="shared" ref="D56:S56" si="34">D46/D66</f>
        <v>4541840.6279999996</v>
      </c>
      <c r="E56" s="118">
        <f t="shared" si="34"/>
        <v>5614944.2390322583</v>
      </c>
      <c r="F56" s="118">
        <f t="shared" si="34"/>
        <v>5565619.6087962966</v>
      </c>
      <c r="G56" s="118">
        <f t="shared" si="34"/>
        <v>8780711.2922891565</v>
      </c>
      <c r="H56" s="118">
        <f t="shared" si="34"/>
        <v>4873842.6021348312</v>
      </c>
      <c r="I56" s="118">
        <f t="shared" si="34"/>
        <v>9232677.3609677423</v>
      </c>
      <c r="J56" s="118">
        <f t="shared" si="34"/>
        <v>8109508.9234693879</v>
      </c>
      <c r="K56" s="118">
        <f t="shared" si="34"/>
        <v>7293710.9284931514</v>
      </c>
      <c r="L56" s="118">
        <f t="shared" si="34"/>
        <v>5436895.333333333</v>
      </c>
      <c r="M56" s="118">
        <f t="shared" si="34"/>
        <v>4973663.3812727276</v>
      </c>
      <c r="N56" s="118">
        <f t="shared" si="34"/>
        <v>7325180.885294118</v>
      </c>
      <c r="O56" s="118">
        <f t="shared" si="34"/>
        <v>12127984.297113404</v>
      </c>
      <c r="P56" s="118">
        <f t="shared" si="34"/>
        <v>10375581.071517857</v>
      </c>
      <c r="Q56" s="118">
        <f t="shared" si="34"/>
        <v>14310710.675443038</v>
      </c>
      <c r="R56" s="118">
        <f t="shared" si="34"/>
        <v>16765372.662051283</v>
      </c>
      <c r="S56" s="162">
        <f t="shared" si="34"/>
        <v>13367005.15439667</v>
      </c>
      <c r="T56" s="3"/>
    </row>
    <row r="57" spans="2:20" x14ac:dyDescent="0.35">
      <c r="B57" s="2"/>
      <c r="C57" s="84" t="s">
        <v>0</v>
      </c>
      <c r="D57" s="118">
        <f t="shared" ref="D57:S57" si="35">D47/D67</f>
        <v>4815591.169294606</v>
      </c>
      <c r="E57" s="118">
        <f t="shared" si="35"/>
        <v>4360086.6564705884</v>
      </c>
      <c r="F57" s="118">
        <f t="shared" si="35"/>
        <v>5260017.2804024769</v>
      </c>
      <c r="G57" s="118">
        <f t="shared" si="35"/>
        <v>5410963.7662499994</v>
      </c>
      <c r="H57" s="118">
        <f t="shared" si="35"/>
        <v>5251647.2215625001</v>
      </c>
      <c r="I57" s="118">
        <f t="shared" si="35"/>
        <v>4289037.0465384619</v>
      </c>
      <c r="J57" s="118">
        <f t="shared" si="35"/>
        <v>4908029.6739999996</v>
      </c>
      <c r="K57" s="118">
        <f t="shared" si="35"/>
        <v>3665475.2104545459</v>
      </c>
      <c r="L57" s="118">
        <f t="shared" si="35"/>
        <v>5131101.4245714284</v>
      </c>
      <c r="M57" s="118">
        <f t="shared" si="35"/>
        <v>4969189.5182283465</v>
      </c>
      <c r="N57" s="118">
        <f t="shared" si="35"/>
        <v>9281157.6201136373</v>
      </c>
      <c r="O57" s="118">
        <f t="shared" si="35"/>
        <v>5683841.9016734697</v>
      </c>
      <c r="P57" s="118">
        <f t="shared" si="35"/>
        <v>8841748.4832017533</v>
      </c>
      <c r="Q57" s="118">
        <f t="shared" si="35"/>
        <v>8690381.8737546466</v>
      </c>
      <c r="R57" s="118">
        <f t="shared" si="35"/>
        <v>9293398.6570711322</v>
      </c>
      <c r="S57" s="162">
        <f t="shared" si="35"/>
        <v>9676182.9838532098</v>
      </c>
      <c r="T57" s="3"/>
    </row>
    <row r="58" spans="2:20" x14ac:dyDescent="0.35">
      <c r="B58" s="2"/>
      <c r="C58" s="84" t="s">
        <v>1</v>
      </c>
      <c r="D58" s="118">
        <f t="shared" ref="D58:S58" si="36">D48/D68</f>
        <v>3708130.9815407628</v>
      </c>
      <c r="E58" s="118">
        <f t="shared" si="36"/>
        <v>3930795.2736053411</v>
      </c>
      <c r="F58" s="118">
        <f t="shared" si="36"/>
        <v>3982807.4868467897</v>
      </c>
      <c r="G58" s="118">
        <f t="shared" si="36"/>
        <v>3650333.8423980982</v>
      </c>
      <c r="H58" s="118">
        <f t="shared" si="36"/>
        <v>4121966.7246505609</v>
      </c>
      <c r="I58" s="118">
        <f t="shared" si="36"/>
        <v>3645037.18283237</v>
      </c>
      <c r="J58" s="118">
        <f t="shared" si="36"/>
        <v>4718433.9375584405</v>
      </c>
      <c r="K58" s="118">
        <f t="shared" si="36"/>
        <v>4391741.1954982206</v>
      </c>
      <c r="L58" s="118">
        <f t="shared" si="36"/>
        <v>5153541.8320689658</v>
      </c>
      <c r="M58" s="118">
        <f t="shared" si="36"/>
        <v>6786878.0395340165</v>
      </c>
      <c r="N58" s="118">
        <f t="shared" si="36"/>
        <v>7122743.6040389296</v>
      </c>
      <c r="O58" s="118">
        <f t="shared" si="36"/>
        <v>7056806.8855161294</v>
      </c>
      <c r="P58" s="118">
        <f t="shared" si="36"/>
        <v>9957420.7770429105</v>
      </c>
      <c r="Q58" s="118">
        <f t="shared" si="36"/>
        <v>10909220.471013788</v>
      </c>
      <c r="R58" s="118">
        <f t="shared" si="36"/>
        <v>11675973.07032636</v>
      </c>
      <c r="S58" s="162">
        <f t="shared" si="36"/>
        <v>12683256.890813794</v>
      </c>
      <c r="T58" s="3"/>
    </row>
    <row r="59" spans="2:20" x14ac:dyDescent="0.35">
      <c r="B59" s="2"/>
      <c r="C59" s="87" t="s">
        <v>12</v>
      </c>
      <c r="D59" s="119">
        <f t="shared" ref="D59:S59" si="37">D49/D69</f>
        <v>4022600.0620892388</v>
      </c>
      <c r="E59" s="119">
        <f t="shared" si="37"/>
        <v>4075705.1585436892</v>
      </c>
      <c r="F59" s="119">
        <f t="shared" si="37"/>
        <v>4318415.0754302675</v>
      </c>
      <c r="G59" s="119">
        <f t="shared" si="37"/>
        <v>4174255.6767098866</v>
      </c>
      <c r="H59" s="119">
        <f t="shared" si="37"/>
        <v>4372650.3232839666</v>
      </c>
      <c r="I59" s="119">
        <f t="shared" si="37"/>
        <v>4077164.317682324</v>
      </c>
      <c r="J59" s="119">
        <f t="shared" si="37"/>
        <v>4982152.5534445923</v>
      </c>
      <c r="K59" s="119">
        <f t="shared" si="37"/>
        <v>4394164.5415259963</v>
      </c>
      <c r="L59" s="119">
        <f t="shared" si="37"/>
        <v>5161320.8968890402</v>
      </c>
      <c r="M59" s="119">
        <f t="shared" si="37"/>
        <v>6413392.7273261659</v>
      </c>
      <c r="N59" s="119">
        <f t="shared" si="37"/>
        <v>7493155.7141398871</v>
      </c>
      <c r="O59" s="119">
        <f t="shared" si="37"/>
        <v>7147882.486162792</v>
      </c>
      <c r="P59" s="119">
        <f t="shared" si="37"/>
        <v>9716271.1487883013</v>
      </c>
      <c r="Q59" s="119">
        <f t="shared" si="37"/>
        <v>11040158.537360871</v>
      </c>
      <c r="R59" s="119">
        <f t="shared" si="37"/>
        <v>12124286.598219721</v>
      </c>
      <c r="S59" s="163">
        <f t="shared" si="37"/>
        <v>12376693.184444444</v>
      </c>
      <c r="T59" s="3"/>
    </row>
    <row r="60" spans="2:20" x14ac:dyDescent="0.35">
      <c r="B60" s="2"/>
      <c r="C60" s="85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3"/>
    </row>
    <row r="61" spans="2:20" ht="13.15" x14ac:dyDescent="0.4">
      <c r="B61" s="2"/>
      <c r="C61" s="109" t="s">
        <v>11</v>
      </c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5"/>
      <c r="T61" s="3"/>
    </row>
    <row r="62" spans="2:20" x14ac:dyDescent="0.35">
      <c r="B62" s="2"/>
      <c r="C62" s="81" t="s">
        <v>5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7"/>
      <c r="T62" s="3"/>
    </row>
    <row r="63" spans="2:20" x14ac:dyDescent="0.35">
      <c r="B63" s="2"/>
      <c r="C63" s="84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61"/>
      <c r="T63" s="3"/>
    </row>
    <row r="64" spans="2:20" x14ac:dyDescent="0.35">
      <c r="B64" s="2"/>
      <c r="C64" s="84"/>
      <c r="D64" s="120">
        <v>2005</v>
      </c>
      <c r="E64" s="120">
        <v>2006</v>
      </c>
      <c r="F64" s="120">
        <v>2007</v>
      </c>
      <c r="G64" s="120">
        <v>2008</v>
      </c>
      <c r="H64" s="120">
        <v>2009</v>
      </c>
      <c r="I64" s="120">
        <v>2010</v>
      </c>
      <c r="J64" s="120">
        <v>2011</v>
      </c>
      <c r="K64" s="120">
        <v>2012</v>
      </c>
      <c r="L64" s="120">
        <v>2013</v>
      </c>
      <c r="M64" s="120">
        <v>2014</v>
      </c>
      <c r="N64" s="120">
        <v>2015</v>
      </c>
      <c r="O64" s="120">
        <v>2016</v>
      </c>
      <c r="P64" s="120">
        <v>2017</v>
      </c>
      <c r="Q64" s="120">
        <v>2018</v>
      </c>
      <c r="R64" s="120">
        <v>2019</v>
      </c>
      <c r="S64" s="161">
        <v>2020</v>
      </c>
      <c r="T64" s="3"/>
    </row>
    <row r="65" spans="2:20" x14ac:dyDescent="0.35">
      <c r="B65" s="2"/>
      <c r="C65" s="84" t="s">
        <v>3</v>
      </c>
      <c r="D65" s="118">
        <v>16</v>
      </c>
      <c r="E65" s="118">
        <v>19</v>
      </c>
      <c r="F65" s="118">
        <v>18</v>
      </c>
      <c r="G65" s="118">
        <v>16</v>
      </c>
      <c r="H65" s="118">
        <v>17</v>
      </c>
      <c r="I65" s="118">
        <v>28</v>
      </c>
      <c r="J65" s="118">
        <v>10</v>
      </c>
      <c r="K65" s="118">
        <v>20</v>
      </c>
      <c r="L65" s="118">
        <v>7</v>
      </c>
      <c r="M65" s="118">
        <v>13</v>
      </c>
      <c r="N65" s="118">
        <v>5</v>
      </c>
      <c r="O65" s="118">
        <v>18</v>
      </c>
      <c r="P65" s="118">
        <v>24</v>
      </c>
      <c r="Q65" s="118">
        <v>4</v>
      </c>
      <c r="R65" s="118">
        <v>29</v>
      </c>
      <c r="S65" s="162">
        <v>40</v>
      </c>
      <c r="T65" s="3"/>
    </row>
    <row r="66" spans="2:20" x14ac:dyDescent="0.35">
      <c r="B66" s="2"/>
      <c r="C66" s="84" t="s">
        <v>4</v>
      </c>
      <c r="D66" s="118">
        <v>70</v>
      </c>
      <c r="E66" s="118">
        <v>62</v>
      </c>
      <c r="F66" s="118">
        <v>108</v>
      </c>
      <c r="G66" s="118">
        <v>83</v>
      </c>
      <c r="H66" s="118">
        <v>89</v>
      </c>
      <c r="I66" s="118">
        <v>93</v>
      </c>
      <c r="J66" s="118">
        <v>98</v>
      </c>
      <c r="K66" s="118">
        <v>73</v>
      </c>
      <c r="L66" s="118">
        <v>57</v>
      </c>
      <c r="M66" s="118">
        <v>55</v>
      </c>
      <c r="N66" s="118">
        <v>85</v>
      </c>
      <c r="O66" s="118">
        <v>97</v>
      </c>
      <c r="P66" s="118">
        <v>112</v>
      </c>
      <c r="Q66" s="118">
        <v>237</v>
      </c>
      <c r="R66" s="118">
        <v>312</v>
      </c>
      <c r="S66" s="162">
        <v>721</v>
      </c>
      <c r="T66" s="3"/>
    </row>
    <row r="67" spans="2:20" x14ac:dyDescent="0.35">
      <c r="B67" s="2"/>
      <c r="C67" s="84" t="s">
        <v>0</v>
      </c>
      <c r="D67" s="118">
        <v>482</v>
      </c>
      <c r="E67" s="118">
        <v>425</v>
      </c>
      <c r="F67" s="118">
        <v>323</v>
      </c>
      <c r="G67" s="118">
        <v>280</v>
      </c>
      <c r="H67" s="118">
        <v>288</v>
      </c>
      <c r="I67" s="118">
        <v>286</v>
      </c>
      <c r="J67" s="118">
        <v>235</v>
      </c>
      <c r="K67" s="118">
        <v>264</v>
      </c>
      <c r="L67" s="118">
        <v>245</v>
      </c>
      <c r="M67" s="118">
        <v>254</v>
      </c>
      <c r="N67" s="118">
        <v>264</v>
      </c>
      <c r="O67" s="118">
        <v>245</v>
      </c>
      <c r="P67" s="118">
        <v>228</v>
      </c>
      <c r="Q67" s="118">
        <v>269</v>
      </c>
      <c r="R67" s="118">
        <v>239</v>
      </c>
      <c r="S67" s="162">
        <v>327</v>
      </c>
      <c r="T67" s="3"/>
    </row>
    <row r="68" spans="2:20" x14ac:dyDescent="0.35">
      <c r="B68" s="2"/>
      <c r="C68" s="84" t="s">
        <v>1</v>
      </c>
      <c r="D68" s="118">
        <v>1337</v>
      </c>
      <c r="E68" s="118">
        <v>1348</v>
      </c>
      <c r="F68" s="118">
        <v>1573</v>
      </c>
      <c r="G68" s="118">
        <v>1472</v>
      </c>
      <c r="H68" s="118">
        <v>1159</v>
      </c>
      <c r="I68" s="118">
        <v>1211</v>
      </c>
      <c r="J68" s="118">
        <v>1155</v>
      </c>
      <c r="K68" s="118">
        <v>1124</v>
      </c>
      <c r="L68" s="118">
        <v>1160</v>
      </c>
      <c r="M68" s="118">
        <v>1073</v>
      </c>
      <c r="N68" s="118">
        <v>1233</v>
      </c>
      <c r="O68" s="118">
        <v>930</v>
      </c>
      <c r="P68" s="118">
        <v>1072</v>
      </c>
      <c r="Q68" s="118">
        <v>1233</v>
      </c>
      <c r="R68" s="118">
        <v>1195</v>
      </c>
      <c r="S68" s="162">
        <v>1450</v>
      </c>
      <c r="T68" s="3"/>
    </row>
    <row r="69" spans="2:20" x14ac:dyDescent="0.35">
      <c r="B69" s="2"/>
      <c r="C69" s="87" t="s">
        <v>2</v>
      </c>
      <c r="D69" s="119">
        <f>SUM(D65:D68)</f>
        <v>1905</v>
      </c>
      <c r="E69" s="119">
        <f t="shared" ref="E69" si="38">SUM(E65:E68)</f>
        <v>1854</v>
      </c>
      <c r="F69" s="119">
        <f t="shared" ref="F69" si="39">SUM(F65:F68)</f>
        <v>2022</v>
      </c>
      <c r="G69" s="119">
        <f t="shared" ref="G69" si="40">SUM(G65:G68)</f>
        <v>1851</v>
      </c>
      <c r="H69" s="119">
        <f t="shared" ref="H69" si="41">SUM(H65:H68)</f>
        <v>1553</v>
      </c>
      <c r="I69" s="119">
        <f t="shared" ref="I69" si="42">SUM(I65:I68)</f>
        <v>1618</v>
      </c>
      <c r="J69" s="119">
        <f t="shared" ref="J69" si="43">SUM(J65:J68)</f>
        <v>1498</v>
      </c>
      <c r="K69" s="119">
        <f t="shared" ref="K69" si="44">SUM(K65:K68)</f>
        <v>1481</v>
      </c>
      <c r="L69" s="119">
        <f t="shared" ref="L69" si="45">SUM(L65:L68)</f>
        <v>1469</v>
      </c>
      <c r="M69" s="119">
        <f t="shared" ref="M69" si="46">SUM(M65:M68)</f>
        <v>1395</v>
      </c>
      <c r="N69" s="119">
        <f t="shared" ref="N69" si="47">SUM(N65:N68)</f>
        <v>1587</v>
      </c>
      <c r="O69" s="119">
        <f t="shared" ref="O69" si="48">SUM(O65:O68)</f>
        <v>1290</v>
      </c>
      <c r="P69" s="119">
        <f t="shared" ref="P69" si="49">SUM(P65:P68)</f>
        <v>1436</v>
      </c>
      <c r="Q69" s="119">
        <f t="shared" ref="Q69" si="50">SUM(Q65:Q68)</f>
        <v>1743</v>
      </c>
      <c r="R69" s="119">
        <f t="shared" ref="R69" si="51">SUM(R65:R68)</f>
        <v>1775</v>
      </c>
      <c r="S69" s="163">
        <f t="shared" ref="S69" si="52">SUM(S65:S68)</f>
        <v>2538</v>
      </c>
      <c r="T69" s="3"/>
    </row>
    <row r="70" spans="2:20" x14ac:dyDescent="0.35">
      <c r="B70" s="2"/>
      <c r="C70" s="88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3"/>
    </row>
    <row r="71" spans="2:20" ht="13.15" x14ac:dyDescent="0.4">
      <c r="B71" s="2"/>
      <c r="C71" s="109" t="s">
        <v>317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5"/>
      <c r="T71" s="3"/>
    </row>
    <row r="72" spans="2:20" x14ac:dyDescent="0.35">
      <c r="B72" s="2"/>
      <c r="C72" s="81" t="s">
        <v>5</v>
      </c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7"/>
      <c r="T72" s="3"/>
    </row>
    <row r="73" spans="2:20" x14ac:dyDescent="0.35">
      <c r="B73" s="2"/>
      <c r="C73" s="84"/>
      <c r="D73" s="120" t="s">
        <v>40</v>
      </c>
      <c r="E73" s="120" t="s">
        <v>39</v>
      </c>
      <c r="F73" s="120" t="s">
        <v>0</v>
      </c>
      <c r="G73" s="120" t="s">
        <v>1</v>
      </c>
      <c r="S73" s="129"/>
      <c r="T73" s="3"/>
    </row>
    <row r="74" spans="2:20" x14ac:dyDescent="0.35">
      <c r="B74" s="2"/>
      <c r="C74" s="84" t="s">
        <v>40</v>
      </c>
      <c r="D74" s="121">
        <v>0.29139999999999999</v>
      </c>
      <c r="E74" s="121">
        <v>2.7000000000000001E-3</v>
      </c>
      <c r="F74" s="121">
        <v>6.4000000000000003E-3</v>
      </c>
      <c r="G74" s="121">
        <v>5.7000000000000002E-3</v>
      </c>
      <c r="S74" s="129"/>
      <c r="T74" s="3"/>
    </row>
    <row r="75" spans="2:20" x14ac:dyDescent="0.35">
      <c r="B75" s="2"/>
      <c r="C75" s="84" t="s">
        <v>39</v>
      </c>
      <c r="D75" s="121">
        <v>9.2700000000000005E-2</v>
      </c>
      <c r="E75" s="121">
        <v>0.76470000000000005</v>
      </c>
      <c r="F75" s="121">
        <v>1.77E-2</v>
      </c>
      <c r="G75" s="121">
        <v>3.2899999999999999E-2</v>
      </c>
      <c r="S75" s="129"/>
      <c r="T75" s="3"/>
    </row>
    <row r="76" spans="2:20" x14ac:dyDescent="0.35">
      <c r="B76" s="2"/>
      <c r="C76" s="84" t="s">
        <v>0</v>
      </c>
      <c r="D76" s="121">
        <v>0.184</v>
      </c>
      <c r="E76" s="121">
        <v>2.47E-2</v>
      </c>
      <c r="F76" s="121">
        <v>0.64990000000000003</v>
      </c>
      <c r="G76" s="121">
        <v>6.9400000000000003E-2</v>
      </c>
      <c r="S76" s="129"/>
      <c r="T76" s="3"/>
    </row>
    <row r="77" spans="2:20" x14ac:dyDescent="0.35">
      <c r="B77" s="2"/>
      <c r="C77" s="87" t="s">
        <v>1</v>
      </c>
      <c r="D77" s="122">
        <v>0.43190000000000001</v>
      </c>
      <c r="E77" s="122">
        <v>0.2079</v>
      </c>
      <c r="F77" s="122">
        <v>0.32600000000000001</v>
      </c>
      <c r="G77" s="122">
        <v>0.89200000000000002</v>
      </c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2"/>
      <c r="T77" s="3"/>
    </row>
    <row r="78" spans="2:20" x14ac:dyDescent="0.35">
      <c r="B78" s="8"/>
      <c r="C78" s="8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0"/>
    </row>
    <row r="79" spans="2:20" x14ac:dyDescent="0.35">
      <c r="C79" s="8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</row>
    <row r="80" spans="2:20" ht="13.15" x14ac:dyDescent="0.4">
      <c r="B80" s="25" t="s">
        <v>23</v>
      </c>
      <c r="C80" s="105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27"/>
    </row>
    <row r="81" spans="2:20" x14ac:dyDescent="0.35">
      <c r="B81" s="2"/>
      <c r="C81" s="85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3"/>
    </row>
    <row r="82" spans="2:20" ht="13.15" x14ac:dyDescent="0.4">
      <c r="B82" s="2"/>
      <c r="C82" s="109" t="s">
        <v>13</v>
      </c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5"/>
      <c r="T82" s="3"/>
    </row>
    <row r="83" spans="2:20" x14ac:dyDescent="0.35">
      <c r="B83" s="2"/>
      <c r="C83" s="81" t="s">
        <v>5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7"/>
      <c r="T83" s="3"/>
    </row>
    <row r="84" spans="2:20" x14ac:dyDescent="0.35">
      <c r="B84" s="2"/>
      <c r="C84" s="84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61"/>
      <c r="T84" s="3"/>
    </row>
    <row r="85" spans="2:20" x14ac:dyDescent="0.35">
      <c r="B85" s="2"/>
      <c r="C85" s="84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61"/>
      <c r="T85" s="3"/>
    </row>
    <row r="86" spans="2:20" x14ac:dyDescent="0.35">
      <c r="B86" s="2"/>
      <c r="C86" s="84"/>
      <c r="D86" s="120">
        <v>2005</v>
      </c>
      <c r="E86" s="120">
        <v>2006</v>
      </c>
      <c r="F86" s="120">
        <v>2007</v>
      </c>
      <c r="G86" s="120">
        <v>2008</v>
      </c>
      <c r="H86" s="120">
        <v>2009</v>
      </c>
      <c r="I86" s="120">
        <v>2010</v>
      </c>
      <c r="J86" s="120">
        <v>2011</v>
      </c>
      <c r="K86" s="120">
        <v>2012</v>
      </c>
      <c r="L86" s="120">
        <v>2013</v>
      </c>
      <c r="M86" s="120">
        <v>2014</v>
      </c>
      <c r="N86" s="120">
        <v>2015</v>
      </c>
      <c r="O86" s="120">
        <v>2016</v>
      </c>
      <c r="P86" s="120">
        <v>2017</v>
      </c>
      <c r="Q86" s="120">
        <v>2018</v>
      </c>
      <c r="R86" s="120">
        <v>2019</v>
      </c>
      <c r="S86" s="161">
        <v>2020</v>
      </c>
      <c r="T86" s="3"/>
    </row>
    <row r="87" spans="2:20" x14ac:dyDescent="0.35">
      <c r="B87" s="2"/>
      <c r="C87" s="84" t="s">
        <v>14</v>
      </c>
      <c r="D87" s="118">
        <v>2362011035.8874502</v>
      </c>
      <c r="E87" s="118">
        <v>2207952830.524147</v>
      </c>
      <c r="F87" s="118">
        <v>2936414726.9931989</v>
      </c>
      <c r="G87" s="118">
        <v>2851228973.8381934</v>
      </c>
      <c r="H87" s="118">
        <v>2157763015.144125</v>
      </c>
      <c r="I87" s="118">
        <v>2187205613.488039</v>
      </c>
      <c r="J87" s="118">
        <v>2455943687.3155127</v>
      </c>
      <c r="K87" s="118">
        <v>2381680488.772131</v>
      </c>
      <c r="L87" s="118">
        <v>2515260052.3025103</v>
      </c>
      <c r="M87" s="118">
        <v>2358275525.8411155</v>
      </c>
      <c r="N87" s="118">
        <v>4585039574.1430311</v>
      </c>
      <c r="O87" s="118">
        <v>3881810733.9703064</v>
      </c>
      <c r="P87" s="118">
        <v>4295733189.7334919</v>
      </c>
      <c r="Q87" s="118">
        <v>7535027516.1605759</v>
      </c>
      <c r="R87" s="118">
        <v>7430888518.7412634</v>
      </c>
      <c r="S87" s="162">
        <v>9975121679.7239113</v>
      </c>
      <c r="T87" s="3"/>
    </row>
    <row r="88" spans="2:20" x14ac:dyDescent="0.35">
      <c r="B88" s="2"/>
      <c r="C88" s="84" t="s">
        <v>15</v>
      </c>
      <c r="D88" s="118">
        <v>2628615494.1113601</v>
      </c>
      <c r="E88" s="118">
        <v>2435769048.6240659</v>
      </c>
      <c r="F88" s="118">
        <v>2430108537.2791405</v>
      </c>
      <c r="G88" s="118">
        <v>2116606344.909137</v>
      </c>
      <c r="H88" s="118">
        <v>2255542663.4424605</v>
      </c>
      <c r="I88" s="118">
        <v>2178300202.6308465</v>
      </c>
      <c r="J88" s="118">
        <v>2199699706.8218765</v>
      </c>
      <c r="K88" s="118">
        <v>1935770788.7898502</v>
      </c>
      <c r="L88" s="118">
        <v>1945464058.4958191</v>
      </c>
      <c r="M88" s="118">
        <v>2713416718.2424316</v>
      </c>
      <c r="N88" s="118">
        <v>3946766201.4786558</v>
      </c>
      <c r="O88" s="118">
        <v>2671323517.0848303</v>
      </c>
      <c r="P88" s="118">
        <v>6083526014.4285393</v>
      </c>
      <c r="Q88" s="118">
        <v>5664213446.7222328</v>
      </c>
      <c r="R88" s="118">
        <v>8808482193.0709553</v>
      </c>
      <c r="S88" s="162">
        <v>10981214204.95887</v>
      </c>
      <c r="T88" s="3"/>
    </row>
    <row r="89" spans="2:20" x14ac:dyDescent="0.35">
      <c r="B89" s="2"/>
      <c r="C89" s="84" t="s">
        <v>16</v>
      </c>
      <c r="D89" s="118">
        <v>1248971634.2449126</v>
      </c>
      <c r="E89" s="118">
        <v>1974642596.736392</v>
      </c>
      <c r="F89" s="118">
        <v>1767123942.6524134</v>
      </c>
      <c r="G89" s="118">
        <v>1759311105.0641413</v>
      </c>
      <c r="H89" s="118">
        <v>1080953273.3690023</v>
      </c>
      <c r="I89" s="118">
        <v>1680151780.901504</v>
      </c>
      <c r="J89" s="118">
        <v>975310429.56547403</v>
      </c>
      <c r="K89" s="118">
        <v>1103346825.9461489</v>
      </c>
      <c r="L89" s="118">
        <v>1487928207.8136103</v>
      </c>
      <c r="M89" s="118">
        <v>1468770606.6033416</v>
      </c>
      <c r="N89" s="118">
        <v>1801917974.4853621</v>
      </c>
      <c r="O89" s="118">
        <v>793089799.64705682</v>
      </c>
      <c r="P89" s="118">
        <v>2486600021.9231219</v>
      </c>
      <c r="Q89" s="118">
        <v>4497537953.5752554</v>
      </c>
      <c r="R89" s="118">
        <v>3235502340.588891</v>
      </c>
      <c r="S89" s="162">
        <v>7057261332.0321589</v>
      </c>
      <c r="T89" s="3"/>
    </row>
    <row r="90" spans="2:20" x14ac:dyDescent="0.35">
      <c r="B90" s="2"/>
      <c r="C90" s="84" t="s">
        <v>17</v>
      </c>
      <c r="D90" s="118">
        <v>946859973.00172353</v>
      </c>
      <c r="E90" s="118">
        <v>355261970.84410918</v>
      </c>
      <c r="F90" s="118">
        <v>1010459308.4210993</v>
      </c>
      <c r="G90" s="118">
        <v>698990543.77044725</v>
      </c>
      <c r="H90" s="118">
        <v>775680015.62685704</v>
      </c>
      <c r="I90" s="118">
        <v>384071633.75637865</v>
      </c>
      <c r="J90" s="118">
        <v>890748995.46050656</v>
      </c>
      <c r="K90" s="118">
        <v>794270133.93794346</v>
      </c>
      <c r="L90" s="118">
        <v>687137798.86235583</v>
      </c>
      <c r="M90" s="118">
        <v>1171077908.4074006</v>
      </c>
      <c r="N90" s="118">
        <v>723653289.28484106</v>
      </c>
      <c r="O90" s="118">
        <v>569019955.43645453</v>
      </c>
      <c r="P90" s="118">
        <v>498015336.93263292</v>
      </c>
      <c r="Q90" s="118">
        <v>581495632.80917573</v>
      </c>
      <c r="R90" s="118">
        <v>1519973020.4607086</v>
      </c>
      <c r="S90" s="162">
        <v>2891174798.5979605</v>
      </c>
      <c r="T90" s="3"/>
    </row>
    <row r="91" spans="2:20" x14ac:dyDescent="0.35">
      <c r="B91" s="2"/>
      <c r="C91" s="84" t="s">
        <v>18</v>
      </c>
      <c r="D91" s="118">
        <v>169733878.10242683</v>
      </c>
      <c r="E91" s="118">
        <v>495296705.71255994</v>
      </c>
      <c r="F91" s="118">
        <v>400573611.02653015</v>
      </c>
      <c r="G91" s="118">
        <v>139452317.74078572</v>
      </c>
      <c r="H91" s="118">
        <v>198893721.22394273</v>
      </c>
      <c r="I91" s="118">
        <v>65252569.332227528</v>
      </c>
      <c r="J91" s="118">
        <v>366909371.99556482</v>
      </c>
      <c r="K91" s="118">
        <v>212899027.04134148</v>
      </c>
      <c r="L91" s="118">
        <v>493928257.98093307</v>
      </c>
      <c r="M91" s="118">
        <v>1130360262.0757961</v>
      </c>
      <c r="N91" s="118">
        <v>423995717.57925051</v>
      </c>
      <c r="O91" s="118">
        <v>462056465.96740627</v>
      </c>
      <c r="P91" s="118">
        <v>558509783.26856172</v>
      </c>
      <c r="Q91" s="118">
        <v>682857795.14824677</v>
      </c>
      <c r="R91" s="118">
        <v>525762638.97818291</v>
      </c>
      <c r="S91" s="162">
        <v>450760461.51366204</v>
      </c>
      <c r="T91" s="3"/>
    </row>
    <row r="92" spans="2:20" x14ac:dyDescent="0.35">
      <c r="B92" s="2"/>
      <c r="C92" s="84" t="s">
        <v>19</v>
      </c>
      <c r="D92" s="118">
        <v>306861101.69212693</v>
      </c>
      <c r="E92" s="118">
        <v>87434212.758725733</v>
      </c>
      <c r="F92" s="118">
        <v>187155154.77761865</v>
      </c>
      <c r="G92" s="118">
        <v>160957972.26729482</v>
      </c>
      <c r="H92" s="118">
        <v>321893263.2536118</v>
      </c>
      <c r="I92" s="118">
        <v>101870067.23100469</v>
      </c>
      <c r="J92" s="118">
        <v>574652332.51106501</v>
      </c>
      <c r="K92" s="118">
        <v>79790422.802584246</v>
      </c>
      <c r="L92" s="118">
        <v>452262023.40477264</v>
      </c>
      <c r="M92" s="118">
        <v>104781833.4499156</v>
      </c>
      <c r="N92" s="118">
        <v>410265362.47886145</v>
      </c>
      <c r="O92" s="118">
        <v>843467935.04394686</v>
      </c>
      <c r="P92" s="118">
        <v>30181024.503650606</v>
      </c>
      <c r="Q92" s="118">
        <v>281863987.38451278</v>
      </c>
      <c r="R92" s="118">
        <v>0</v>
      </c>
      <c r="S92" s="162">
        <v>56514826.433436081</v>
      </c>
      <c r="T92" s="3"/>
    </row>
    <row r="93" spans="2:20" x14ac:dyDescent="0.35">
      <c r="B93" s="2"/>
      <c r="C93" s="87" t="s">
        <v>2</v>
      </c>
      <c r="D93" s="119">
        <f>SUM(D87:D92)</f>
        <v>7663053117.04</v>
      </c>
      <c r="E93" s="119">
        <f t="shared" ref="E93:S93" si="53">SUM(E87:E92)</f>
        <v>7556357365.1999998</v>
      </c>
      <c r="F93" s="119">
        <f t="shared" si="53"/>
        <v>8731835281.1500015</v>
      </c>
      <c r="G93" s="119">
        <f t="shared" si="53"/>
        <v>7726547257.5899992</v>
      </c>
      <c r="H93" s="119">
        <f t="shared" si="53"/>
        <v>6790725952.0599995</v>
      </c>
      <c r="I93" s="119">
        <f t="shared" si="53"/>
        <v>6596851867.3400002</v>
      </c>
      <c r="J93" s="119">
        <f t="shared" si="53"/>
        <v>7463264523.6700001</v>
      </c>
      <c r="K93" s="119">
        <f t="shared" si="53"/>
        <v>6507757687.29</v>
      </c>
      <c r="L93" s="119">
        <f t="shared" si="53"/>
        <v>7581980398.8600016</v>
      </c>
      <c r="M93" s="119">
        <f t="shared" si="53"/>
        <v>8946682854.6200008</v>
      </c>
      <c r="N93" s="119">
        <f t="shared" si="53"/>
        <v>11891638119.450001</v>
      </c>
      <c r="O93" s="119">
        <f t="shared" si="53"/>
        <v>9220768407.1500015</v>
      </c>
      <c r="P93" s="119">
        <f t="shared" si="53"/>
        <v>13952565370.789999</v>
      </c>
      <c r="Q93" s="119">
        <f t="shared" si="53"/>
        <v>19242996331.800003</v>
      </c>
      <c r="R93" s="119">
        <f t="shared" si="53"/>
        <v>21520608711.84</v>
      </c>
      <c r="S93" s="163">
        <f t="shared" si="53"/>
        <v>31412047303.259998</v>
      </c>
      <c r="T93" s="3"/>
    </row>
    <row r="94" spans="2:20" x14ac:dyDescent="0.35">
      <c r="B94" s="2"/>
      <c r="C94" s="85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3"/>
    </row>
    <row r="95" spans="2:20" ht="13.15" x14ac:dyDescent="0.4">
      <c r="B95" s="2"/>
      <c r="C95" s="109" t="s">
        <v>305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5"/>
      <c r="T95" s="3"/>
    </row>
    <row r="96" spans="2:20" x14ac:dyDescent="0.35">
      <c r="B96" s="2"/>
      <c r="C96" s="81" t="s">
        <v>5</v>
      </c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7"/>
      <c r="T96" s="3"/>
    </row>
    <row r="97" spans="2:20" x14ac:dyDescent="0.35">
      <c r="B97" s="2"/>
      <c r="C97" s="84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61"/>
      <c r="T97" s="3"/>
    </row>
    <row r="98" spans="2:20" x14ac:dyDescent="0.35">
      <c r="B98" s="2"/>
      <c r="C98" s="84"/>
      <c r="D98" s="120">
        <v>2005</v>
      </c>
      <c r="E98" s="120">
        <v>2006</v>
      </c>
      <c r="F98" s="120">
        <v>2007</v>
      </c>
      <c r="G98" s="120">
        <v>2008</v>
      </c>
      <c r="H98" s="120">
        <v>2009</v>
      </c>
      <c r="I98" s="120">
        <v>2010</v>
      </c>
      <c r="J98" s="120">
        <v>2011</v>
      </c>
      <c r="K98" s="120">
        <v>2012</v>
      </c>
      <c r="L98" s="120">
        <v>2013</v>
      </c>
      <c r="M98" s="120">
        <v>2014</v>
      </c>
      <c r="N98" s="120">
        <v>2015</v>
      </c>
      <c r="O98" s="120">
        <v>2016</v>
      </c>
      <c r="P98" s="120">
        <v>2017</v>
      </c>
      <c r="Q98" s="120">
        <v>2018</v>
      </c>
      <c r="R98" s="120">
        <v>2019</v>
      </c>
      <c r="S98" s="161">
        <v>2020</v>
      </c>
      <c r="T98" s="3"/>
    </row>
    <row r="99" spans="2:20" x14ac:dyDescent="0.35">
      <c r="B99" s="2"/>
      <c r="C99" s="84" t="s">
        <v>14</v>
      </c>
      <c r="D99" s="118">
        <f t="shared" ref="D99:S99" si="54">D87/D111</f>
        <v>3923606.3719060635</v>
      </c>
      <c r="E99" s="118">
        <f t="shared" si="54"/>
        <v>3471623.9473650111</v>
      </c>
      <c r="F99" s="118">
        <f t="shared" si="54"/>
        <v>4286736.8277272973</v>
      </c>
      <c r="G99" s="118">
        <f t="shared" si="54"/>
        <v>3822022.7531343075</v>
      </c>
      <c r="H99" s="118">
        <f t="shared" si="54"/>
        <v>3669664.9917417089</v>
      </c>
      <c r="I99" s="118">
        <f t="shared" si="54"/>
        <v>3621201.3468345017</v>
      </c>
      <c r="J99" s="118">
        <f t="shared" si="54"/>
        <v>3954820.7525209542</v>
      </c>
      <c r="K99" s="118">
        <f t="shared" si="54"/>
        <v>3822922.1328605632</v>
      </c>
      <c r="L99" s="118">
        <f t="shared" si="54"/>
        <v>4855714.3866843823</v>
      </c>
      <c r="M99" s="118">
        <f t="shared" si="54"/>
        <v>4483413.5472264551</v>
      </c>
      <c r="N99" s="118">
        <f t="shared" si="54"/>
        <v>7075678.3551589986</v>
      </c>
      <c r="O99" s="118">
        <f t="shared" si="54"/>
        <v>5666876.9838982578</v>
      </c>
      <c r="P99" s="118">
        <f t="shared" si="54"/>
        <v>7444944.8695554454</v>
      </c>
      <c r="Q99" s="118">
        <f t="shared" si="54"/>
        <v>11048427.443050697</v>
      </c>
      <c r="R99" s="118">
        <f t="shared" si="54"/>
        <v>10555239.373212023</v>
      </c>
      <c r="S99" s="162">
        <f t="shared" si="54"/>
        <v>11120536.989658764</v>
      </c>
      <c r="T99" s="3"/>
    </row>
    <row r="100" spans="2:20" x14ac:dyDescent="0.35">
      <c r="B100" s="2"/>
      <c r="C100" s="84" t="s">
        <v>15</v>
      </c>
      <c r="D100" s="118">
        <f t="shared" ref="D100:S100" si="55">D88/D112</f>
        <v>4031618.8559990185</v>
      </c>
      <c r="E100" s="118">
        <f t="shared" si="55"/>
        <v>4561365.2595956288</v>
      </c>
      <c r="F100" s="118">
        <f t="shared" si="55"/>
        <v>4593777.9532686966</v>
      </c>
      <c r="G100" s="118">
        <f t="shared" si="55"/>
        <v>4437329.8635411682</v>
      </c>
      <c r="H100" s="118">
        <f t="shared" si="55"/>
        <v>5057270.5458351132</v>
      </c>
      <c r="I100" s="118">
        <f t="shared" si="55"/>
        <v>4884081.1718180412</v>
      </c>
      <c r="J100" s="118">
        <f t="shared" si="55"/>
        <v>4792374.0889365505</v>
      </c>
      <c r="K100" s="118">
        <f t="shared" si="55"/>
        <v>4320916.9392630588</v>
      </c>
      <c r="L100" s="118">
        <f t="shared" si="55"/>
        <v>4722000.1419801433</v>
      </c>
      <c r="M100" s="118">
        <f t="shared" si="55"/>
        <v>6166856.1778237084</v>
      </c>
      <c r="N100" s="118">
        <f t="shared" si="55"/>
        <v>7769224.8060603458</v>
      </c>
      <c r="O100" s="118">
        <f t="shared" si="55"/>
        <v>7588987.2644455405</v>
      </c>
      <c r="P100" s="118">
        <f t="shared" si="55"/>
        <v>12265173.416186571</v>
      </c>
      <c r="Q100" s="118">
        <f t="shared" si="55"/>
        <v>9665893.2537922058</v>
      </c>
      <c r="R100" s="118">
        <f t="shared" si="55"/>
        <v>13206120.229491686</v>
      </c>
      <c r="S100" s="162">
        <f t="shared" si="55"/>
        <v>12201349.116620967</v>
      </c>
      <c r="T100" s="3"/>
    </row>
    <row r="101" spans="2:20" x14ac:dyDescent="0.35">
      <c r="B101" s="2"/>
      <c r="C101" s="84" t="s">
        <v>16</v>
      </c>
      <c r="D101" s="118">
        <f t="shared" ref="D101:S101" si="56">D89/D113</f>
        <v>3431240.7534200898</v>
      </c>
      <c r="E101" s="118">
        <f t="shared" si="56"/>
        <v>4311446.7177650481</v>
      </c>
      <c r="F101" s="118">
        <f t="shared" si="56"/>
        <v>4062353.8911549733</v>
      </c>
      <c r="G101" s="118">
        <f t="shared" si="56"/>
        <v>4249543.7320389887</v>
      </c>
      <c r="H101" s="118">
        <f t="shared" si="56"/>
        <v>3945084.9393029283</v>
      </c>
      <c r="I101" s="118">
        <f t="shared" si="56"/>
        <v>4492384.4409131128</v>
      </c>
      <c r="J101" s="118">
        <f t="shared" si="56"/>
        <v>5737120.1739145536</v>
      </c>
      <c r="K101" s="118">
        <f t="shared" si="56"/>
        <v>4818108.4102451913</v>
      </c>
      <c r="L101" s="118">
        <f t="shared" si="56"/>
        <v>5593715.0669684596</v>
      </c>
      <c r="M101" s="118">
        <f t="shared" si="56"/>
        <v>7129954.4009870952</v>
      </c>
      <c r="N101" s="118">
        <f t="shared" si="56"/>
        <v>7236618.371427157</v>
      </c>
      <c r="O101" s="118">
        <f t="shared" si="56"/>
        <v>5116708.3848197218</v>
      </c>
      <c r="P101" s="118">
        <f t="shared" si="56"/>
        <v>8849110.3983029258</v>
      </c>
      <c r="Q101" s="118">
        <f t="shared" si="56"/>
        <v>13796128.691948636</v>
      </c>
      <c r="R101" s="118">
        <f t="shared" si="56"/>
        <v>12163542.633792823</v>
      </c>
      <c r="S101" s="162">
        <f t="shared" si="56"/>
        <v>13493807.518225925</v>
      </c>
      <c r="T101" s="3"/>
    </row>
    <row r="102" spans="2:20" x14ac:dyDescent="0.35">
      <c r="B102" s="2"/>
      <c r="C102" s="84" t="s">
        <v>17</v>
      </c>
      <c r="D102" s="118">
        <f t="shared" ref="D102:S102" si="57">D90/D114</f>
        <v>4403999.874426621</v>
      </c>
      <c r="E102" s="118">
        <f t="shared" si="57"/>
        <v>3171981.8825366893</v>
      </c>
      <c r="F102" s="118">
        <f t="shared" si="57"/>
        <v>4355428.0535392212</v>
      </c>
      <c r="G102" s="118">
        <f t="shared" si="57"/>
        <v>4314756.4430274526</v>
      </c>
      <c r="H102" s="118">
        <f t="shared" si="57"/>
        <v>4909367.1875117533</v>
      </c>
      <c r="I102" s="118">
        <f t="shared" si="57"/>
        <v>3282663.5363793047</v>
      </c>
      <c r="J102" s="118">
        <f t="shared" si="57"/>
        <v>4814859.4349216567</v>
      </c>
      <c r="K102" s="118">
        <f t="shared" si="57"/>
        <v>5971955.8942702515</v>
      </c>
      <c r="L102" s="118">
        <f t="shared" si="57"/>
        <v>4114597.5979781784</v>
      </c>
      <c r="M102" s="118">
        <f t="shared" si="57"/>
        <v>6929455.079333731</v>
      </c>
      <c r="N102" s="118">
        <f t="shared" si="57"/>
        <v>6826917.8234418966</v>
      </c>
      <c r="O102" s="118">
        <f t="shared" si="57"/>
        <v>10736225.574272728</v>
      </c>
      <c r="P102" s="118">
        <f t="shared" si="57"/>
        <v>12450383.423315823</v>
      </c>
      <c r="Q102" s="118">
        <f t="shared" si="57"/>
        <v>8946086.6586027034</v>
      </c>
      <c r="R102" s="118">
        <f t="shared" si="57"/>
        <v>14073824.26352508</v>
      </c>
      <c r="S102" s="162">
        <f t="shared" si="57"/>
        <v>16615947.118379083</v>
      </c>
      <c r="T102" s="3"/>
    </row>
    <row r="103" spans="2:20" x14ac:dyDescent="0.35">
      <c r="B103" s="2"/>
      <c r="C103" s="84" t="s">
        <v>18</v>
      </c>
      <c r="D103" s="118">
        <f t="shared" ref="D103:S103" si="58">D91/D115</f>
        <v>4243346.9525606707</v>
      </c>
      <c r="E103" s="118">
        <f t="shared" si="58"/>
        <v>5565131.5248602238</v>
      </c>
      <c r="F103" s="118">
        <f t="shared" si="58"/>
        <v>4216564.326595054</v>
      </c>
      <c r="G103" s="118">
        <f t="shared" si="58"/>
        <v>5578092.7096314291</v>
      </c>
      <c r="H103" s="118">
        <f t="shared" si="58"/>
        <v>4059055.5351825044</v>
      </c>
      <c r="I103" s="118">
        <f t="shared" si="58"/>
        <v>1165224.4523612058</v>
      </c>
      <c r="J103" s="118">
        <f t="shared" si="58"/>
        <v>16677698.727071129</v>
      </c>
      <c r="K103" s="118">
        <f t="shared" si="58"/>
        <v>5069024.4533652738</v>
      </c>
      <c r="L103" s="118">
        <f t="shared" si="58"/>
        <v>5677336.2986314148</v>
      </c>
      <c r="M103" s="118">
        <f t="shared" si="58"/>
        <v>22163926.707368553</v>
      </c>
      <c r="N103" s="118">
        <f t="shared" si="58"/>
        <v>7709013.046895464</v>
      </c>
      <c r="O103" s="118">
        <f t="shared" si="58"/>
        <v>13201613.313354464</v>
      </c>
      <c r="P103" s="118">
        <f t="shared" si="58"/>
        <v>15957422.379101763</v>
      </c>
      <c r="Q103" s="118">
        <f t="shared" si="58"/>
        <v>9227808.0425438751</v>
      </c>
      <c r="R103" s="118">
        <f t="shared" si="58"/>
        <v>17525421.299272764</v>
      </c>
      <c r="S103" s="162">
        <f t="shared" si="58"/>
        <v>12182715.17604492</v>
      </c>
      <c r="T103" s="3"/>
    </row>
    <row r="104" spans="2:20" x14ac:dyDescent="0.35">
      <c r="B104" s="2"/>
      <c r="C104" s="84" t="s">
        <v>19</v>
      </c>
      <c r="D104" s="118">
        <f t="shared" ref="D104:S104" si="59">D92/D116</f>
        <v>9298821.2633977849</v>
      </c>
      <c r="E104" s="118">
        <f t="shared" si="59"/>
        <v>3643092.198280239</v>
      </c>
      <c r="F104" s="118">
        <f t="shared" si="59"/>
        <v>4068590.3212525793</v>
      </c>
      <c r="G104" s="118">
        <f t="shared" si="59"/>
        <v>6190691.241049801</v>
      </c>
      <c r="H104" s="118">
        <f t="shared" si="59"/>
        <v>8470875.3487792574</v>
      </c>
      <c r="I104" s="118">
        <f t="shared" si="59"/>
        <v>5093503.3615502343</v>
      </c>
      <c r="J104" s="118">
        <f t="shared" si="59"/>
        <v>14015910.549050367</v>
      </c>
      <c r="K104" s="118">
        <f t="shared" si="59"/>
        <v>13298403.800430708</v>
      </c>
      <c r="L104" s="118">
        <f t="shared" si="59"/>
        <v>23803264.389724877</v>
      </c>
      <c r="M104" s="118">
        <f t="shared" si="59"/>
        <v>26195458.362478901</v>
      </c>
      <c r="N104" s="118">
        <f t="shared" si="59"/>
        <v>20513268.123943072</v>
      </c>
      <c r="O104" s="118">
        <f t="shared" si="59"/>
        <v>84346793.50439468</v>
      </c>
      <c r="P104" s="118">
        <f t="shared" si="59"/>
        <v>5030170.750608434</v>
      </c>
      <c r="Q104" s="118">
        <f t="shared" si="59"/>
        <v>28186398.73845128</v>
      </c>
      <c r="R104" s="118"/>
      <c r="S104" s="162">
        <f t="shared" si="59"/>
        <v>8073546.6333480114</v>
      </c>
      <c r="T104" s="3"/>
    </row>
    <row r="105" spans="2:20" x14ac:dyDescent="0.35">
      <c r="B105" s="2"/>
      <c r="C105" s="87" t="s">
        <v>12</v>
      </c>
      <c r="D105" s="119">
        <f t="shared" ref="D105:S105" si="60">D93/D117</f>
        <v>4091325.743214095</v>
      </c>
      <c r="E105" s="119">
        <f t="shared" si="60"/>
        <v>4131414.6337889554</v>
      </c>
      <c r="F105" s="119">
        <f t="shared" si="60"/>
        <v>4418944.9803390699</v>
      </c>
      <c r="G105" s="119">
        <f t="shared" si="60"/>
        <v>4236045.6456085518</v>
      </c>
      <c r="H105" s="119">
        <f t="shared" si="60"/>
        <v>4482327.3610957088</v>
      </c>
      <c r="I105" s="119">
        <f t="shared" si="60"/>
        <v>4130777.6251346273</v>
      </c>
      <c r="J105" s="119">
        <f t="shared" si="60"/>
        <v>5122350.3937336998</v>
      </c>
      <c r="K105" s="119">
        <f t="shared" si="60"/>
        <v>4412039.1100271186</v>
      </c>
      <c r="L105" s="119">
        <f t="shared" si="60"/>
        <v>5228951.9992137942</v>
      </c>
      <c r="M105" s="119">
        <f t="shared" si="60"/>
        <v>6427214.6944109201</v>
      </c>
      <c r="N105" s="119">
        <f t="shared" si="60"/>
        <v>7593638.6458812263</v>
      </c>
      <c r="O105" s="119">
        <f t="shared" si="60"/>
        <v>7203725.3180859387</v>
      </c>
      <c r="P105" s="119">
        <f t="shared" si="60"/>
        <v>9763866.5995731279</v>
      </c>
      <c r="Q105" s="119">
        <f t="shared" si="60"/>
        <v>11103864.011425275</v>
      </c>
      <c r="R105" s="119">
        <f t="shared" si="60"/>
        <v>12124286.598219719</v>
      </c>
      <c r="S105" s="163">
        <f t="shared" si="60"/>
        <v>12410923.470272619</v>
      </c>
      <c r="T105" s="3"/>
    </row>
    <row r="106" spans="2:20" x14ac:dyDescent="0.35">
      <c r="B106" s="2"/>
      <c r="C106" s="85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3"/>
    </row>
    <row r="107" spans="2:20" ht="13.15" x14ac:dyDescent="0.4">
      <c r="B107" s="2"/>
      <c r="C107" s="109" t="s">
        <v>20</v>
      </c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5"/>
      <c r="T107" s="3"/>
    </row>
    <row r="108" spans="2:20" x14ac:dyDescent="0.35">
      <c r="B108" s="2"/>
      <c r="C108" s="81" t="s">
        <v>5</v>
      </c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7"/>
      <c r="T108" s="3"/>
    </row>
    <row r="109" spans="2:20" x14ac:dyDescent="0.35">
      <c r="B109" s="2"/>
      <c r="C109" s="84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61"/>
      <c r="T109" s="3"/>
    </row>
    <row r="110" spans="2:20" x14ac:dyDescent="0.35">
      <c r="B110" s="2"/>
      <c r="C110" s="84"/>
      <c r="D110" s="120">
        <v>2005</v>
      </c>
      <c r="E110" s="120">
        <v>2006</v>
      </c>
      <c r="F110" s="120">
        <v>2007</v>
      </c>
      <c r="G110" s="120">
        <v>2008</v>
      </c>
      <c r="H110" s="120">
        <v>2009</v>
      </c>
      <c r="I110" s="120">
        <v>2010</v>
      </c>
      <c r="J110" s="120">
        <v>2011</v>
      </c>
      <c r="K110" s="120">
        <v>2012</v>
      </c>
      <c r="L110" s="120">
        <v>2013</v>
      </c>
      <c r="M110" s="120">
        <v>2014</v>
      </c>
      <c r="N110" s="120">
        <v>2015</v>
      </c>
      <c r="O110" s="120">
        <v>2016</v>
      </c>
      <c r="P110" s="120">
        <v>2017</v>
      </c>
      <c r="Q110" s="120">
        <v>2018</v>
      </c>
      <c r="R110" s="120">
        <v>2019</v>
      </c>
      <c r="S110" s="161">
        <v>2020</v>
      </c>
      <c r="T110" s="3"/>
    </row>
    <row r="111" spans="2:20" x14ac:dyDescent="0.35">
      <c r="B111" s="2"/>
      <c r="C111" s="84" t="s">
        <v>14</v>
      </c>
      <c r="D111" s="118">
        <v>602</v>
      </c>
      <c r="E111" s="118">
        <v>636</v>
      </c>
      <c r="F111" s="118">
        <v>685</v>
      </c>
      <c r="G111" s="118">
        <v>746</v>
      </c>
      <c r="H111" s="118">
        <v>588</v>
      </c>
      <c r="I111" s="118">
        <v>604</v>
      </c>
      <c r="J111" s="118">
        <v>621</v>
      </c>
      <c r="K111" s="118">
        <v>623</v>
      </c>
      <c r="L111" s="118">
        <v>518</v>
      </c>
      <c r="M111" s="118">
        <v>526</v>
      </c>
      <c r="N111" s="118">
        <v>648</v>
      </c>
      <c r="O111" s="118">
        <v>685</v>
      </c>
      <c r="P111" s="118">
        <v>577</v>
      </c>
      <c r="Q111" s="118">
        <v>682</v>
      </c>
      <c r="R111" s="118">
        <v>704</v>
      </c>
      <c r="S111" s="162">
        <v>897</v>
      </c>
      <c r="T111" s="3"/>
    </row>
    <row r="112" spans="2:20" x14ac:dyDescent="0.35">
      <c r="B112" s="2"/>
      <c r="C112" s="84" t="s">
        <v>15</v>
      </c>
      <c r="D112" s="118">
        <v>652</v>
      </c>
      <c r="E112" s="118">
        <v>534</v>
      </c>
      <c r="F112" s="118">
        <v>529</v>
      </c>
      <c r="G112" s="118">
        <v>477</v>
      </c>
      <c r="H112" s="118">
        <v>446</v>
      </c>
      <c r="I112" s="118">
        <v>446</v>
      </c>
      <c r="J112" s="118">
        <v>459</v>
      </c>
      <c r="K112" s="118">
        <v>448</v>
      </c>
      <c r="L112" s="118">
        <v>412</v>
      </c>
      <c r="M112" s="118">
        <v>440</v>
      </c>
      <c r="N112" s="118">
        <v>508</v>
      </c>
      <c r="O112" s="118">
        <v>352</v>
      </c>
      <c r="P112" s="118">
        <v>496</v>
      </c>
      <c r="Q112" s="118">
        <v>586</v>
      </c>
      <c r="R112" s="118">
        <v>667</v>
      </c>
      <c r="S112" s="162">
        <v>900</v>
      </c>
      <c r="T112" s="3"/>
    </row>
    <row r="113" spans="2:20" x14ac:dyDescent="0.35">
      <c r="B113" s="2"/>
      <c r="C113" s="84" t="s">
        <v>16</v>
      </c>
      <c r="D113" s="118">
        <v>364</v>
      </c>
      <c r="E113" s="118">
        <v>458</v>
      </c>
      <c r="F113" s="118">
        <v>435</v>
      </c>
      <c r="G113" s="118">
        <v>414</v>
      </c>
      <c r="H113" s="118">
        <v>274</v>
      </c>
      <c r="I113" s="118">
        <v>374</v>
      </c>
      <c r="J113" s="118">
        <v>170</v>
      </c>
      <c r="K113" s="118">
        <v>229</v>
      </c>
      <c r="L113" s="118">
        <v>266</v>
      </c>
      <c r="M113" s="118">
        <v>206</v>
      </c>
      <c r="N113" s="118">
        <v>249</v>
      </c>
      <c r="O113" s="118">
        <v>155</v>
      </c>
      <c r="P113" s="118">
        <v>281</v>
      </c>
      <c r="Q113" s="118">
        <v>326</v>
      </c>
      <c r="R113" s="118">
        <v>266</v>
      </c>
      <c r="S113" s="162">
        <v>523</v>
      </c>
      <c r="T113" s="3"/>
    </row>
    <row r="114" spans="2:20" x14ac:dyDescent="0.35">
      <c r="B114" s="2"/>
      <c r="C114" s="84" t="s">
        <v>17</v>
      </c>
      <c r="D114" s="118">
        <v>215</v>
      </c>
      <c r="E114" s="118">
        <v>112</v>
      </c>
      <c r="F114" s="118">
        <v>232</v>
      </c>
      <c r="G114" s="118">
        <v>162</v>
      </c>
      <c r="H114" s="118">
        <v>158</v>
      </c>
      <c r="I114" s="118">
        <v>117</v>
      </c>
      <c r="J114" s="118">
        <v>185</v>
      </c>
      <c r="K114" s="118">
        <v>133</v>
      </c>
      <c r="L114" s="118">
        <v>167</v>
      </c>
      <c r="M114" s="118">
        <v>169</v>
      </c>
      <c r="N114" s="118">
        <v>106</v>
      </c>
      <c r="O114" s="118">
        <v>53</v>
      </c>
      <c r="P114" s="118">
        <v>40</v>
      </c>
      <c r="Q114" s="118">
        <v>65</v>
      </c>
      <c r="R114" s="118">
        <v>108</v>
      </c>
      <c r="S114" s="162">
        <v>174</v>
      </c>
      <c r="T114" s="3"/>
    </row>
    <row r="115" spans="2:20" x14ac:dyDescent="0.35">
      <c r="B115" s="2"/>
      <c r="C115" s="84" t="s">
        <v>18</v>
      </c>
      <c r="D115" s="118">
        <v>40</v>
      </c>
      <c r="E115" s="118">
        <v>89</v>
      </c>
      <c r="F115" s="118">
        <v>95</v>
      </c>
      <c r="G115" s="118">
        <v>25</v>
      </c>
      <c r="H115" s="118">
        <v>49</v>
      </c>
      <c r="I115" s="118">
        <v>56</v>
      </c>
      <c r="J115" s="118">
        <v>22</v>
      </c>
      <c r="K115" s="118">
        <v>42</v>
      </c>
      <c r="L115" s="118">
        <v>87</v>
      </c>
      <c r="M115" s="118">
        <v>51</v>
      </c>
      <c r="N115" s="118">
        <v>55</v>
      </c>
      <c r="O115" s="118">
        <v>35</v>
      </c>
      <c r="P115" s="118">
        <v>35</v>
      </c>
      <c r="Q115" s="118">
        <v>74</v>
      </c>
      <c r="R115" s="118">
        <v>30</v>
      </c>
      <c r="S115" s="162">
        <v>37</v>
      </c>
      <c r="T115" s="3"/>
    </row>
    <row r="116" spans="2:20" x14ac:dyDescent="0.35">
      <c r="B116" s="2"/>
      <c r="C116" s="84" t="s">
        <v>19</v>
      </c>
      <c r="D116" s="118">
        <v>33</v>
      </c>
      <c r="E116" s="118">
        <v>24</v>
      </c>
      <c r="F116" s="118">
        <v>46</v>
      </c>
      <c r="G116" s="118">
        <v>26</v>
      </c>
      <c r="H116" s="118">
        <v>38</v>
      </c>
      <c r="I116" s="118">
        <v>20</v>
      </c>
      <c r="J116" s="118">
        <v>41</v>
      </c>
      <c r="K116" s="118">
        <v>6</v>
      </c>
      <c r="L116" s="118">
        <v>19</v>
      </c>
      <c r="M116" s="118">
        <v>4</v>
      </c>
      <c r="N116" s="118">
        <v>20</v>
      </c>
      <c r="O116" s="118">
        <v>10</v>
      </c>
      <c r="P116" s="118">
        <v>6</v>
      </c>
      <c r="Q116" s="118">
        <v>10</v>
      </c>
      <c r="R116" s="118">
        <v>0</v>
      </c>
      <c r="S116" s="162">
        <v>7</v>
      </c>
      <c r="T116" s="3"/>
    </row>
    <row r="117" spans="2:20" x14ac:dyDescent="0.35">
      <c r="B117" s="2"/>
      <c r="C117" s="87" t="s">
        <v>2</v>
      </c>
      <c r="D117" s="119">
        <f t="shared" ref="D117:S117" si="61">SUM(D111:D115)</f>
        <v>1873</v>
      </c>
      <c r="E117" s="119">
        <f t="shared" si="61"/>
        <v>1829</v>
      </c>
      <c r="F117" s="119">
        <f t="shared" si="61"/>
        <v>1976</v>
      </c>
      <c r="G117" s="119">
        <f t="shared" si="61"/>
        <v>1824</v>
      </c>
      <c r="H117" s="119">
        <f t="shared" si="61"/>
        <v>1515</v>
      </c>
      <c r="I117" s="119">
        <f t="shared" si="61"/>
        <v>1597</v>
      </c>
      <c r="J117" s="119">
        <f t="shared" si="61"/>
        <v>1457</v>
      </c>
      <c r="K117" s="119">
        <f t="shared" si="61"/>
        <v>1475</v>
      </c>
      <c r="L117" s="119">
        <f t="shared" si="61"/>
        <v>1450</v>
      </c>
      <c r="M117" s="119">
        <f t="shared" si="61"/>
        <v>1392</v>
      </c>
      <c r="N117" s="119">
        <f t="shared" si="61"/>
        <v>1566</v>
      </c>
      <c r="O117" s="119">
        <f t="shared" si="61"/>
        <v>1280</v>
      </c>
      <c r="P117" s="119">
        <f t="shared" si="61"/>
        <v>1429</v>
      </c>
      <c r="Q117" s="119">
        <f t="shared" si="61"/>
        <v>1733</v>
      </c>
      <c r="R117" s="119">
        <f t="shared" si="61"/>
        <v>1775</v>
      </c>
      <c r="S117" s="163">
        <f t="shared" si="61"/>
        <v>2531</v>
      </c>
      <c r="T117" s="3"/>
    </row>
    <row r="118" spans="2:20" x14ac:dyDescent="0.35">
      <c r="B118" s="2"/>
      <c r="C118" s="85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3"/>
    </row>
    <row r="119" spans="2:20" ht="13.15" x14ac:dyDescent="0.4">
      <c r="B119" s="2"/>
      <c r="C119" s="109" t="s">
        <v>306</v>
      </c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5"/>
      <c r="T119" s="3"/>
    </row>
    <row r="120" spans="2:20" x14ac:dyDescent="0.35">
      <c r="B120" s="2"/>
      <c r="C120" s="81" t="s">
        <v>5</v>
      </c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7"/>
      <c r="T120" s="3"/>
    </row>
    <row r="121" spans="2:20" ht="14.25" x14ac:dyDescent="0.45">
      <c r="B121" s="2"/>
      <c r="C121" s="117"/>
      <c r="D121" s="173" t="s">
        <v>14</v>
      </c>
      <c r="E121" s="173" t="s">
        <v>15</v>
      </c>
      <c r="F121" s="173" t="s">
        <v>16</v>
      </c>
      <c r="G121" s="173" t="s">
        <v>17</v>
      </c>
      <c r="H121" s="173" t="s">
        <v>18</v>
      </c>
      <c r="I121" s="173" t="s">
        <v>157</v>
      </c>
      <c r="J121" s="120"/>
      <c r="K121" s="120"/>
      <c r="L121" s="120"/>
      <c r="M121" s="120"/>
      <c r="N121" s="120"/>
      <c r="O121" s="120"/>
      <c r="P121" s="120"/>
      <c r="Q121" s="120"/>
      <c r="R121" s="120"/>
      <c r="S121" s="161"/>
      <c r="T121" s="3"/>
    </row>
    <row r="122" spans="2:20" x14ac:dyDescent="0.35">
      <c r="B122" s="2"/>
      <c r="C122" s="84" t="s">
        <v>153</v>
      </c>
      <c r="D122" s="118">
        <v>23.4</v>
      </c>
      <c r="E122" s="118">
        <v>44.2</v>
      </c>
      <c r="F122" s="118">
        <v>51.7</v>
      </c>
      <c r="G122" s="118">
        <v>61.9</v>
      </c>
      <c r="H122" s="118">
        <v>51.5</v>
      </c>
      <c r="I122" s="118">
        <v>36.200000000000003</v>
      </c>
      <c r="J122" s="120"/>
      <c r="K122" s="120"/>
      <c r="L122" s="120"/>
      <c r="M122" s="120"/>
      <c r="N122" s="120"/>
      <c r="O122" s="120"/>
      <c r="P122" s="120"/>
      <c r="Q122" s="120"/>
      <c r="R122" s="120"/>
      <c r="S122" s="161"/>
      <c r="T122" s="3"/>
    </row>
    <row r="123" spans="2:20" x14ac:dyDescent="0.35">
      <c r="B123" s="2"/>
      <c r="C123" s="84" t="s">
        <v>154</v>
      </c>
      <c r="D123" s="118">
        <v>12.6</v>
      </c>
      <c r="E123" s="118">
        <v>26.7</v>
      </c>
      <c r="F123" s="118">
        <v>35.6</v>
      </c>
      <c r="G123" s="118">
        <v>38.299999999999997</v>
      </c>
      <c r="H123" s="118">
        <v>34.9</v>
      </c>
      <c r="I123" s="118">
        <v>19.399999999999999</v>
      </c>
      <c r="J123" s="120"/>
      <c r="K123" s="120"/>
      <c r="L123" s="120"/>
      <c r="M123" s="120"/>
      <c r="N123" s="120"/>
      <c r="O123" s="120"/>
      <c r="P123" s="120"/>
      <c r="Q123" s="120"/>
      <c r="R123" s="120"/>
      <c r="S123" s="161"/>
      <c r="T123" s="3"/>
    </row>
    <row r="124" spans="2:20" x14ac:dyDescent="0.35">
      <c r="B124" s="2"/>
      <c r="C124" s="84"/>
      <c r="D124" s="118"/>
      <c r="E124" s="118"/>
      <c r="F124" s="118"/>
      <c r="G124" s="118"/>
      <c r="H124" s="118"/>
      <c r="I124" s="118"/>
      <c r="J124" s="120"/>
      <c r="K124" s="120"/>
      <c r="L124" s="120"/>
      <c r="M124" s="120"/>
      <c r="N124" s="120"/>
      <c r="O124" s="120"/>
      <c r="P124" s="120"/>
      <c r="Q124" s="120"/>
      <c r="R124" s="120"/>
      <c r="S124" s="161"/>
      <c r="T124" s="3"/>
    </row>
    <row r="125" spans="2:20" x14ac:dyDescent="0.35">
      <c r="B125" s="2"/>
      <c r="C125" s="84" t="s">
        <v>316</v>
      </c>
      <c r="D125" s="118" t="s">
        <v>307</v>
      </c>
      <c r="E125" s="118" t="s">
        <v>179</v>
      </c>
      <c r="F125" s="118" t="s">
        <v>308</v>
      </c>
      <c r="G125" s="118" t="s">
        <v>309</v>
      </c>
      <c r="H125" s="118" t="s">
        <v>310</v>
      </c>
      <c r="I125" s="118" t="s">
        <v>161</v>
      </c>
      <c r="J125" s="120"/>
      <c r="K125" s="120"/>
      <c r="L125" s="120"/>
      <c r="M125" s="120"/>
      <c r="N125" s="120"/>
      <c r="O125" s="120"/>
      <c r="P125" s="120"/>
      <c r="Q125" s="120"/>
      <c r="R125" s="120"/>
      <c r="S125" s="161"/>
      <c r="T125" s="3"/>
    </row>
    <row r="126" spans="2:20" x14ac:dyDescent="0.35">
      <c r="B126" s="2"/>
      <c r="C126" s="87" t="s">
        <v>171</v>
      </c>
      <c r="D126" s="119" t="s">
        <v>311</v>
      </c>
      <c r="E126" s="119" t="s">
        <v>312</v>
      </c>
      <c r="F126" s="119" t="s">
        <v>313</v>
      </c>
      <c r="G126" s="119" t="s">
        <v>313</v>
      </c>
      <c r="H126" s="119" t="s">
        <v>314</v>
      </c>
      <c r="I126" s="119" t="s">
        <v>315</v>
      </c>
      <c r="J126" s="119"/>
      <c r="K126" s="119"/>
      <c r="L126" s="119"/>
      <c r="M126" s="119"/>
      <c r="N126" s="119"/>
      <c r="O126" s="119"/>
      <c r="P126" s="119"/>
      <c r="Q126" s="119"/>
      <c r="R126" s="119"/>
      <c r="S126" s="163"/>
      <c r="T126" s="3"/>
    </row>
    <row r="127" spans="2:20" x14ac:dyDescent="0.35">
      <c r="B127" s="2"/>
      <c r="C127" s="85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3"/>
    </row>
    <row r="128" spans="2:20" x14ac:dyDescent="0.35">
      <c r="B128" s="2"/>
      <c r="C128" s="85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3"/>
    </row>
    <row r="129" spans="2:20" x14ac:dyDescent="0.35">
      <c r="B129" s="8"/>
      <c r="C129" s="8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0"/>
    </row>
    <row r="130" spans="2:20" x14ac:dyDescent="0.35">
      <c r="B130" s="116"/>
      <c r="C130" s="85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16"/>
    </row>
    <row r="131" spans="2:20" x14ac:dyDescent="0.35">
      <c r="B131" s="116"/>
      <c r="C131" s="85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07ED-9A0C-4757-8909-AB4A392EDD89}">
  <sheetPr>
    <tabColor theme="6" tint="-0.499984740745262"/>
  </sheetPr>
  <dimension ref="B2:U143"/>
  <sheetViews>
    <sheetView showGridLines="0" showRowColHeaders="0" zoomScale="85" zoomScaleNormal="85" workbookViewId="0">
      <selection activeCell="B3" sqref="B3"/>
    </sheetView>
  </sheetViews>
  <sheetFormatPr defaultRowHeight="12.75" x14ac:dyDescent="0.35"/>
  <cols>
    <col min="1" max="2" width="2.1328125" customWidth="1"/>
    <col min="3" max="21" width="36.73046875" customWidth="1"/>
  </cols>
  <sheetData>
    <row r="2" spans="2:21" ht="16.899999999999999" x14ac:dyDescent="0.5">
      <c r="B2" s="112" t="s">
        <v>330</v>
      </c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3"/>
      <c r="P2" s="113"/>
      <c r="Q2" s="113"/>
      <c r="R2" s="113"/>
      <c r="S2" s="113"/>
      <c r="T2" s="115"/>
      <c r="U2" s="115"/>
    </row>
    <row r="4" spans="2:21" ht="13.15" x14ac:dyDescent="0.4">
      <c r="B4" s="75" t="s">
        <v>304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</row>
    <row r="5" spans="2:21" x14ac:dyDescent="0.3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</row>
    <row r="6" spans="2:21" ht="13.15" x14ac:dyDescent="0.4">
      <c r="B6" s="4"/>
      <c r="C6" s="75" t="s">
        <v>144</v>
      </c>
      <c r="D6" s="72"/>
      <c r="E6" s="72"/>
      <c r="F6" s="72"/>
      <c r="G6" s="72"/>
      <c r="H6" s="7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</row>
    <row r="7" spans="2:21" x14ac:dyDescent="0.35">
      <c r="B7" s="4"/>
      <c r="C7" s="4" t="s">
        <v>147</v>
      </c>
      <c r="D7" s="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</row>
    <row r="8" spans="2:21" x14ac:dyDescent="0.35">
      <c r="B8" s="4"/>
      <c r="C8" s="4"/>
      <c r="D8" s="5"/>
      <c r="E8" s="5"/>
      <c r="F8" s="5"/>
      <c r="G8" s="5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</row>
    <row r="9" spans="2:21" x14ac:dyDescent="0.35">
      <c r="B9" s="4"/>
      <c r="C9" s="4"/>
      <c r="D9" s="174" t="s">
        <v>134</v>
      </c>
      <c r="E9" s="174" t="s">
        <v>135</v>
      </c>
      <c r="F9" s="174" t="s">
        <v>136</v>
      </c>
      <c r="G9" s="174" t="s">
        <v>137</v>
      </c>
      <c r="H9" s="129" t="s">
        <v>138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2:21" x14ac:dyDescent="0.35">
      <c r="B10" s="4"/>
      <c r="C10" s="4"/>
      <c r="D10" s="174"/>
      <c r="E10" s="174"/>
      <c r="F10" s="174"/>
      <c r="G10" s="174"/>
      <c r="H10" s="12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</row>
    <row r="11" spans="2:21" x14ac:dyDescent="0.35">
      <c r="B11" s="4"/>
      <c r="C11" s="4" t="s">
        <v>139</v>
      </c>
      <c r="D11" s="174">
        <v>30</v>
      </c>
      <c r="E11" s="174">
        <v>35</v>
      </c>
      <c r="F11" s="174">
        <v>43</v>
      </c>
      <c r="G11" s="174">
        <v>77</v>
      </c>
      <c r="H11" s="129">
        <v>13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2:21" x14ac:dyDescent="0.35">
      <c r="B12" s="4"/>
      <c r="C12" s="4" t="s">
        <v>140</v>
      </c>
      <c r="D12" s="174">
        <v>3</v>
      </c>
      <c r="E12" s="174">
        <v>21</v>
      </c>
      <c r="F12" s="175">
        <v>1715</v>
      </c>
      <c r="G12" s="175">
        <v>2056</v>
      </c>
      <c r="H12" s="129">
        <v>272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2:21" x14ac:dyDescent="0.35">
      <c r="B13" s="4"/>
      <c r="C13" s="4" t="s">
        <v>141</v>
      </c>
      <c r="D13" s="174">
        <v>149</v>
      </c>
      <c r="E13" s="174">
        <v>330</v>
      </c>
      <c r="F13" s="175">
        <v>2612</v>
      </c>
      <c r="G13" s="175">
        <v>4371</v>
      </c>
      <c r="H13" s="176">
        <v>1052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2:21" x14ac:dyDescent="0.35">
      <c r="B14" s="4"/>
      <c r="C14" s="4" t="s">
        <v>142</v>
      </c>
      <c r="D14" s="174">
        <v>45</v>
      </c>
      <c r="E14" s="174">
        <v>124</v>
      </c>
      <c r="F14" s="175">
        <v>3415</v>
      </c>
      <c r="G14" s="175">
        <v>5785</v>
      </c>
      <c r="H14" s="129">
        <v>613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2:21" x14ac:dyDescent="0.35">
      <c r="B15" s="4"/>
      <c r="C15" s="7" t="s">
        <v>143</v>
      </c>
      <c r="D15" s="177">
        <v>5859</v>
      </c>
      <c r="E15" s="177">
        <v>3188</v>
      </c>
      <c r="F15" s="177">
        <v>2019</v>
      </c>
      <c r="G15" s="177">
        <v>2542</v>
      </c>
      <c r="H15" s="172">
        <v>486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2:21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2:21" ht="13.15" x14ac:dyDescent="0.4">
      <c r="B17" s="4"/>
      <c r="C17" s="75" t="s">
        <v>145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6"/>
      <c r="U17" s="6"/>
    </row>
    <row r="18" spans="2:21" x14ac:dyDescent="0.35">
      <c r="B18" s="4"/>
      <c r="C18" s="4" t="s">
        <v>325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</row>
    <row r="19" spans="2:21" x14ac:dyDescent="0.35"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6"/>
    </row>
    <row r="20" spans="2:21" x14ac:dyDescent="0.35">
      <c r="B20" s="4"/>
      <c r="C20" s="4"/>
      <c r="D20" s="5"/>
      <c r="E20" s="5">
        <v>2005</v>
      </c>
      <c r="F20" s="5">
        <v>2006</v>
      </c>
      <c r="G20" s="5">
        <v>2007</v>
      </c>
      <c r="H20" s="5">
        <v>2008</v>
      </c>
      <c r="I20" s="5">
        <v>2009</v>
      </c>
      <c r="J20" s="5">
        <v>2010</v>
      </c>
      <c r="K20" s="5">
        <v>2011</v>
      </c>
      <c r="L20" s="5">
        <v>2012</v>
      </c>
      <c r="M20" s="5">
        <v>2013</v>
      </c>
      <c r="N20" s="5">
        <v>2014</v>
      </c>
      <c r="O20" s="5">
        <v>2015</v>
      </c>
      <c r="P20" s="5">
        <v>2016</v>
      </c>
      <c r="Q20" s="5">
        <v>2017</v>
      </c>
      <c r="R20" s="5">
        <v>2018</v>
      </c>
      <c r="S20" s="5">
        <v>2019</v>
      </c>
      <c r="T20" s="6">
        <v>2020</v>
      </c>
      <c r="U20" s="6"/>
    </row>
    <row r="21" spans="2:21" x14ac:dyDescent="0.35">
      <c r="B21" s="4"/>
      <c r="C21" s="4" t="s">
        <v>136</v>
      </c>
      <c r="D21" s="5" t="s">
        <v>141</v>
      </c>
      <c r="E21" s="5">
        <v>56</v>
      </c>
      <c r="F21" s="5">
        <v>72</v>
      </c>
      <c r="G21" s="5">
        <v>93</v>
      </c>
      <c r="H21" s="5">
        <v>65</v>
      </c>
      <c r="I21" s="5">
        <v>78</v>
      </c>
      <c r="J21" s="5">
        <v>79</v>
      </c>
      <c r="K21" s="5">
        <v>98</v>
      </c>
      <c r="L21" s="5">
        <v>106</v>
      </c>
      <c r="M21" s="5">
        <v>125</v>
      </c>
      <c r="N21" s="5">
        <v>194</v>
      </c>
      <c r="O21" s="5">
        <v>272</v>
      </c>
      <c r="P21" s="5">
        <v>258</v>
      </c>
      <c r="Q21" s="5">
        <v>258</v>
      </c>
      <c r="R21" s="5">
        <v>259</v>
      </c>
      <c r="S21" s="5">
        <v>257</v>
      </c>
      <c r="T21" s="6">
        <v>320</v>
      </c>
      <c r="U21" s="6"/>
    </row>
    <row r="22" spans="2:21" x14ac:dyDescent="0.35">
      <c r="B22" s="4"/>
      <c r="C22" s="4" t="s">
        <v>136</v>
      </c>
      <c r="D22" s="5" t="s">
        <v>146</v>
      </c>
      <c r="E22" s="5">
        <v>75</v>
      </c>
      <c r="F22" s="5">
        <v>150</v>
      </c>
      <c r="G22" s="5">
        <v>171</v>
      </c>
      <c r="H22" s="5">
        <v>159</v>
      </c>
      <c r="I22" s="5">
        <v>152</v>
      </c>
      <c r="J22" s="5">
        <v>165</v>
      </c>
      <c r="K22" s="5">
        <v>193</v>
      </c>
      <c r="L22" s="5">
        <v>143</v>
      </c>
      <c r="M22" s="5">
        <v>210</v>
      </c>
      <c r="N22" s="5">
        <v>250</v>
      </c>
      <c r="O22" s="5">
        <v>258</v>
      </c>
      <c r="P22" s="5">
        <v>273</v>
      </c>
      <c r="Q22" s="5">
        <v>268</v>
      </c>
      <c r="R22" s="5">
        <v>289</v>
      </c>
      <c r="S22" s="5">
        <v>289</v>
      </c>
      <c r="T22" s="6">
        <v>347</v>
      </c>
      <c r="U22" s="6"/>
    </row>
    <row r="23" spans="2:21" x14ac:dyDescent="0.35">
      <c r="B23" s="4"/>
      <c r="C23" s="4" t="s">
        <v>148</v>
      </c>
      <c r="D23" s="5" t="s">
        <v>141</v>
      </c>
      <c r="E23" s="5">
        <v>151</v>
      </c>
      <c r="F23" s="5">
        <v>167</v>
      </c>
      <c r="G23" s="5">
        <v>173</v>
      </c>
      <c r="H23" s="5">
        <v>162</v>
      </c>
      <c r="I23" s="5">
        <v>151</v>
      </c>
      <c r="J23" s="5">
        <v>169</v>
      </c>
      <c r="K23" s="5">
        <v>180</v>
      </c>
      <c r="L23" s="5">
        <v>221</v>
      </c>
      <c r="M23" s="5">
        <v>220</v>
      </c>
      <c r="N23" s="5">
        <v>334</v>
      </c>
      <c r="O23" s="5">
        <v>398</v>
      </c>
      <c r="P23" s="5">
        <v>403</v>
      </c>
      <c r="Q23" s="5">
        <v>450</v>
      </c>
      <c r="R23" s="5">
        <v>377</v>
      </c>
      <c r="S23" s="5">
        <v>410</v>
      </c>
      <c r="T23" s="6">
        <v>378</v>
      </c>
      <c r="U23" s="6"/>
    </row>
    <row r="24" spans="2:21" x14ac:dyDescent="0.35">
      <c r="B24" s="4"/>
      <c r="C24" s="4" t="s">
        <v>148</v>
      </c>
      <c r="D24" s="5" t="s">
        <v>146</v>
      </c>
      <c r="E24" s="5">
        <v>194</v>
      </c>
      <c r="F24" s="5">
        <v>370</v>
      </c>
      <c r="G24" s="5">
        <v>355</v>
      </c>
      <c r="H24" s="5">
        <v>262</v>
      </c>
      <c r="I24" s="5">
        <v>289</v>
      </c>
      <c r="J24" s="5">
        <v>231</v>
      </c>
      <c r="K24" s="5">
        <v>276</v>
      </c>
      <c r="L24" s="5">
        <v>277</v>
      </c>
      <c r="M24" s="5">
        <v>291</v>
      </c>
      <c r="N24" s="5">
        <v>398</v>
      </c>
      <c r="O24" s="5">
        <v>455</v>
      </c>
      <c r="P24" s="5">
        <v>459</v>
      </c>
      <c r="Q24" s="5">
        <v>436</v>
      </c>
      <c r="R24" s="5">
        <v>453</v>
      </c>
      <c r="S24" s="5">
        <v>470</v>
      </c>
      <c r="T24" s="6">
        <v>537</v>
      </c>
      <c r="U24" s="6"/>
    </row>
    <row r="25" spans="2:21" x14ac:dyDescent="0.35">
      <c r="B25" s="4"/>
      <c r="C25" s="4" t="s">
        <v>138</v>
      </c>
      <c r="D25" s="5" t="s">
        <v>141</v>
      </c>
      <c r="E25" s="5">
        <v>48</v>
      </c>
      <c r="F25" s="5">
        <v>34</v>
      </c>
      <c r="G25" s="5">
        <v>63</v>
      </c>
      <c r="H25" s="5">
        <v>59</v>
      </c>
      <c r="I25" s="5">
        <v>64</v>
      </c>
      <c r="J25" s="5">
        <v>73</v>
      </c>
      <c r="K25" s="5">
        <v>49</v>
      </c>
      <c r="L25" s="5">
        <v>65</v>
      </c>
      <c r="M25" s="5">
        <v>64</v>
      </c>
      <c r="N25" s="5">
        <v>90</v>
      </c>
      <c r="O25" s="5">
        <v>79</v>
      </c>
      <c r="P25" s="5">
        <v>89</v>
      </c>
      <c r="Q25" s="5">
        <v>72</v>
      </c>
      <c r="R25" s="5">
        <v>76</v>
      </c>
      <c r="S25" s="5">
        <v>48</v>
      </c>
      <c r="T25" s="6">
        <v>73</v>
      </c>
      <c r="U25" s="6"/>
    </row>
    <row r="26" spans="2:21" x14ac:dyDescent="0.35">
      <c r="B26" s="4"/>
      <c r="C26" s="7" t="s">
        <v>138</v>
      </c>
      <c r="D26" s="9" t="s">
        <v>146</v>
      </c>
      <c r="E26" s="9">
        <v>43</v>
      </c>
      <c r="F26" s="9">
        <v>48</v>
      </c>
      <c r="G26" s="9">
        <v>45</v>
      </c>
      <c r="H26" s="9">
        <v>42</v>
      </c>
      <c r="I26" s="9">
        <v>63</v>
      </c>
      <c r="J26" s="9">
        <v>45</v>
      </c>
      <c r="K26" s="9">
        <v>39</v>
      </c>
      <c r="L26" s="9">
        <v>21</v>
      </c>
      <c r="M26" s="9">
        <v>31</v>
      </c>
      <c r="N26" s="9">
        <v>40</v>
      </c>
      <c r="O26" s="9">
        <v>50</v>
      </c>
      <c r="P26" s="9">
        <v>24</v>
      </c>
      <c r="Q26" s="9">
        <v>35</v>
      </c>
      <c r="R26" s="9">
        <v>20</v>
      </c>
      <c r="S26" s="9">
        <v>29</v>
      </c>
      <c r="T26" s="11">
        <v>37</v>
      </c>
      <c r="U26" s="6"/>
    </row>
    <row r="27" spans="2:21" x14ac:dyDescent="0.3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</row>
    <row r="28" spans="2:21" ht="13.15" x14ac:dyDescent="0.4">
      <c r="B28" s="4"/>
      <c r="C28" s="75" t="s">
        <v>150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6"/>
      <c r="U28" s="6"/>
    </row>
    <row r="29" spans="2:21" x14ac:dyDescent="0.35">
      <c r="B29" s="4"/>
      <c r="C29" s="4" t="s">
        <v>325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</row>
    <row r="30" spans="2:21" x14ac:dyDescent="0.35">
      <c r="B30" s="4"/>
      <c r="C30" s="4"/>
      <c r="D30" s="5"/>
      <c r="E30" s="5">
        <v>2005</v>
      </c>
      <c r="F30" s="5">
        <v>2006</v>
      </c>
      <c r="G30" s="5">
        <v>2007</v>
      </c>
      <c r="H30" s="5">
        <v>2008</v>
      </c>
      <c r="I30" s="5">
        <v>2009</v>
      </c>
      <c r="J30" s="5">
        <v>2010</v>
      </c>
      <c r="K30" s="5">
        <v>2011</v>
      </c>
      <c r="L30" s="5">
        <v>2012</v>
      </c>
      <c r="M30" s="5">
        <v>2013</v>
      </c>
      <c r="N30" s="5">
        <v>2014</v>
      </c>
      <c r="O30" s="5">
        <v>2015</v>
      </c>
      <c r="P30" s="5">
        <v>2016</v>
      </c>
      <c r="Q30" s="5">
        <v>2017</v>
      </c>
      <c r="R30" s="5">
        <v>2018</v>
      </c>
      <c r="S30" s="5">
        <v>2019</v>
      </c>
      <c r="T30" s="6">
        <v>2020</v>
      </c>
      <c r="U30" s="6"/>
    </row>
    <row r="31" spans="2:21" x14ac:dyDescent="0.35">
      <c r="B31" s="4"/>
      <c r="C31" s="4" t="s">
        <v>151</v>
      </c>
      <c r="D31" s="5" t="s">
        <v>140</v>
      </c>
      <c r="E31" s="5"/>
      <c r="F31" s="5"/>
      <c r="G31" s="5">
        <v>1</v>
      </c>
      <c r="H31" s="5"/>
      <c r="I31" s="5"/>
      <c r="J31" s="5"/>
      <c r="K31" s="5"/>
      <c r="L31" s="5"/>
      <c r="M31" s="5"/>
      <c r="N31" s="5">
        <v>1</v>
      </c>
      <c r="O31" s="5"/>
      <c r="P31" s="5"/>
      <c r="Q31" s="5"/>
      <c r="R31" s="5"/>
      <c r="S31" s="5">
        <v>1</v>
      </c>
      <c r="T31" s="6"/>
      <c r="U31" s="6"/>
    </row>
    <row r="32" spans="2:21" x14ac:dyDescent="0.35">
      <c r="B32" s="4"/>
      <c r="C32" s="4" t="s">
        <v>151</v>
      </c>
      <c r="D32" s="5" t="s">
        <v>141</v>
      </c>
      <c r="E32" s="5">
        <v>5</v>
      </c>
      <c r="F32" s="5">
        <v>5</v>
      </c>
      <c r="G32" s="5">
        <v>1</v>
      </c>
      <c r="H32" s="5">
        <v>10</v>
      </c>
      <c r="I32" s="5">
        <v>4</v>
      </c>
      <c r="J32" s="5">
        <v>9</v>
      </c>
      <c r="K32" s="5">
        <v>2</v>
      </c>
      <c r="L32" s="5">
        <v>5</v>
      </c>
      <c r="M32" s="5">
        <v>8</v>
      </c>
      <c r="N32" s="5">
        <v>5</v>
      </c>
      <c r="O32" s="5">
        <v>19</v>
      </c>
      <c r="P32" s="5">
        <v>11</v>
      </c>
      <c r="Q32" s="5">
        <v>23</v>
      </c>
      <c r="R32" s="5">
        <v>11</v>
      </c>
      <c r="S32" s="5">
        <v>10</v>
      </c>
      <c r="T32" s="6">
        <v>19</v>
      </c>
      <c r="U32" s="6"/>
    </row>
    <row r="33" spans="2:21" x14ac:dyDescent="0.35">
      <c r="B33" s="4"/>
      <c r="C33" s="4" t="s">
        <v>151</v>
      </c>
      <c r="D33" s="5" t="s">
        <v>146</v>
      </c>
      <c r="E33" s="5"/>
      <c r="F33" s="5">
        <v>3</v>
      </c>
      <c r="G33" s="5">
        <v>1</v>
      </c>
      <c r="H33" s="5">
        <v>5</v>
      </c>
      <c r="I33" s="5">
        <v>1</v>
      </c>
      <c r="J33" s="5">
        <v>2</v>
      </c>
      <c r="K33" s="5"/>
      <c r="L33" s="5">
        <v>2</v>
      </c>
      <c r="M33" s="5">
        <v>1</v>
      </c>
      <c r="N33" s="5">
        <v>4</v>
      </c>
      <c r="O33" s="5">
        <v>4</v>
      </c>
      <c r="P33" s="5">
        <v>4</v>
      </c>
      <c r="Q33" s="5">
        <v>3</v>
      </c>
      <c r="R33" s="5">
        <v>3</v>
      </c>
      <c r="S33" s="5">
        <v>2</v>
      </c>
      <c r="T33" s="6">
        <v>9</v>
      </c>
      <c r="U33" s="6"/>
    </row>
    <row r="34" spans="2:21" x14ac:dyDescent="0.35">
      <c r="B34" s="4"/>
      <c r="C34" s="4" t="s">
        <v>151</v>
      </c>
      <c r="D34" s="5" t="s">
        <v>149</v>
      </c>
      <c r="E34" s="5">
        <v>33</v>
      </c>
      <c r="F34" s="5">
        <v>49</v>
      </c>
      <c r="G34" s="5">
        <v>63</v>
      </c>
      <c r="H34" s="5">
        <v>79</v>
      </c>
      <c r="I34" s="5">
        <v>93</v>
      </c>
      <c r="J34" s="5">
        <v>159</v>
      </c>
      <c r="K34" s="5">
        <v>217</v>
      </c>
      <c r="L34" s="5">
        <v>310</v>
      </c>
      <c r="M34" s="5">
        <v>383</v>
      </c>
      <c r="N34" s="5">
        <v>764</v>
      </c>
      <c r="O34" s="5">
        <v>850</v>
      </c>
      <c r="P34" s="5">
        <v>556</v>
      </c>
      <c r="Q34" s="5">
        <v>569</v>
      </c>
      <c r="R34" s="5">
        <v>523</v>
      </c>
      <c r="S34" s="5">
        <v>589</v>
      </c>
      <c r="T34" s="6">
        <v>594</v>
      </c>
      <c r="U34" s="6"/>
    </row>
    <row r="35" spans="2:21" x14ac:dyDescent="0.35">
      <c r="B35" s="4"/>
      <c r="C35" s="4" t="s">
        <v>135</v>
      </c>
      <c r="D35" s="5" t="s">
        <v>140</v>
      </c>
      <c r="E35" s="5">
        <v>2</v>
      </c>
      <c r="F35" s="5"/>
      <c r="G35" s="5"/>
      <c r="H35" s="5">
        <v>1</v>
      </c>
      <c r="I35" s="5"/>
      <c r="J35" s="5">
        <v>1</v>
      </c>
      <c r="K35" s="5">
        <v>2</v>
      </c>
      <c r="L35" s="5">
        <v>1</v>
      </c>
      <c r="M35" s="5">
        <v>2</v>
      </c>
      <c r="N35" s="5"/>
      <c r="O35" s="5"/>
      <c r="P35" s="5">
        <v>2</v>
      </c>
      <c r="Q35" s="5">
        <v>1</v>
      </c>
      <c r="R35" s="5">
        <v>6</v>
      </c>
      <c r="S35" s="5">
        <v>1</v>
      </c>
      <c r="T35" s="6">
        <v>2</v>
      </c>
      <c r="U35" s="6"/>
    </row>
    <row r="36" spans="2:21" x14ac:dyDescent="0.35">
      <c r="B36" s="4"/>
      <c r="C36" s="4" t="s">
        <v>135</v>
      </c>
      <c r="D36" s="5" t="s">
        <v>141</v>
      </c>
      <c r="E36" s="5">
        <v>11</v>
      </c>
      <c r="F36" s="5">
        <v>16</v>
      </c>
      <c r="G36" s="5">
        <v>9</v>
      </c>
      <c r="H36" s="5">
        <v>11</v>
      </c>
      <c r="I36" s="5">
        <v>11</v>
      </c>
      <c r="J36" s="5">
        <v>16</v>
      </c>
      <c r="K36" s="5">
        <v>12</v>
      </c>
      <c r="L36" s="5">
        <v>10</v>
      </c>
      <c r="M36" s="5">
        <v>15</v>
      </c>
      <c r="N36" s="5">
        <v>25</v>
      </c>
      <c r="O36" s="5">
        <v>45</v>
      </c>
      <c r="P36" s="5">
        <v>41</v>
      </c>
      <c r="Q36" s="5">
        <v>29</v>
      </c>
      <c r="R36" s="5">
        <v>31</v>
      </c>
      <c r="S36" s="5">
        <v>22</v>
      </c>
      <c r="T36" s="6">
        <v>23</v>
      </c>
      <c r="U36" s="6"/>
    </row>
    <row r="37" spans="2:21" x14ac:dyDescent="0.35">
      <c r="B37" s="4"/>
      <c r="C37" s="4" t="s">
        <v>135</v>
      </c>
      <c r="D37" s="5" t="s">
        <v>146</v>
      </c>
      <c r="E37" s="5">
        <v>3</v>
      </c>
      <c r="F37" s="5">
        <v>10</v>
      </c>
      <c r="G37" s="5">
        <v>6</v>
      </c>
      <c r="H37" s="5">
        <v>10</v>
      </c>
      <c r="I37" s="5">
        <v>5</v>
      </c>
      <c r="J37" s="5">
        <v>5</v>
      </c>
      <c r="K37" s="5">
        <v>10</v>
      </c>
      <c r="L37" s="5">
        <v>4</v>
      </c>
      <c r="M37" s="5">
        <v>9</v>
      </c>
      <c r="N37" s="5">
        <v>10</v>
      </c>
      <c r="O37" s="5">
        <v>7</v>
      </c>
      <c r="P37" s="5">
        <v>9</v>
      </c>
      <c r="Q37" s="5">
        <v>6</v>
      </c>
      <c r="R37" s="5">
        <v>7</v>
      </c>
      <c r="S37" s="5">
        <v>6</v>
      </c>
      <c r="T37" s="6">
        <v>14</v>
      </c>
      <c r="U37" s="6"/>
    </row>
    <row r="38" spans="2:21" x14ac:dyDescent="0.35">
      <c r="B38" s="4"/>
      <c r="C38" s="4" t="s">
        <v>135</v>
      </c>
      <c r="D38" s="5" t="s">
        <v>149</v>
      </c>
      <c r="E38" s="5">
        <v>4</v>
      </c>
      <c r="F38" s="5">
        <v>11</v>
      </c>
      <c r="G38" s="5">
        <v>21</v>
      </c>
      <c r="H38" s="5">
        <v>25</v>
      </c>
      <c r="I38" s="5">
        <v>35</v>
      </c>
      <c r="J38" s="5">
        <v>46</v>
      </c>
      <c r="K38" s="5">
        <v>92</v>
      </c>
      <c r="L38" s="5">
        <v>102</v>
      </c>
      <c r="M38" s="5">
        <v>134</v>
      </c>
      <c r="N38" s="5">
        <v>294</v>
      </c>
      <c r="O38" s="5">
        <v>369</v>
      </c>
      <c r="P38" s="5">
        <v>319</v>
      </c>
      <c r="Q38" s="5">
        <v>418</v>
      </c>
      <c r="R38" s="5">
        <v>339</v>
      </c>
      <c r="S38" s="5">
        <v>504</v>
      </c>
      <c r="T38" s="6">
        <v>458</v>
      </c>
      <c r="U38" s="6"/>
    </row>
    <row r="39" spans="2:21" x14ac:dyDescent="0.35">
      <c r="B39" s="4"/>
      <c r="C39" s="4" t="s">
        <v>136</v>
      </c>
      <c r="D39" s="5" t="s">
        <v>140</v>
      </c>
      <c r="E39" s="5">
        <v>49</v>
      </c>
      <c r="F39" s="5">
        <v>69</v>
      </c>
      <c r="G39" s="5">
        <v>110</v>
      </c>
      <c r="H39" s="5">
        <v>95</v>
      </c>
      <c r="I39" s="5">
        <v>88</v>
      </c>
      <c r="J39" s="5">
        <v>131</v>
      </c>
      <c r="K39" s="5">
        <v>102</v>
      </c>
      <c r="L39" s="5">
        <v>85</v>
      </c>
      <c r="M39" s="5">
        <v>133</v>
      </c>
      <c r="N39" s="5">
        <v>169</v>
      </c>
      <c r="O39" s="5">
        <v>150</v>
      </c>
      <c r="P39" s="5">
        <v>115</v>
      </c>
      <c r="Q39" s="5">
        <v>120</v>
      </c>
      <c r="R39" s="5">
        <v>96</v>
      </c>
      <c r="S39" s="5">
        <v>106</v>
      </c>
      <c r="T39" s="6">
        <v>89</v>
      </c>
      <c r="U39" s="6"/>
    </row>
    <row r="40" spans="2:21" x14ac:dyDescent="0.35">
      <c r="B40" s="4"/>
      <c r="C40" s="4" t="s">
        <v>136</v>
      </c>
      <c r="D40" s="5" t="s">
        <v>141</v>
      </c>
      <c r="E40" s="5">
        <v>56</v>
      </c>
      <c r="F40" s="5">
        <v>72</v>
      </c>
      <c r="G40" s="5">
        <v>93</v>
      </c>
      <c r="H40" s="5">
        <v>65</v>
      </c>
      <c r="I40" s="5">
        <v>78</v>
      </c>
      <c r="J40" s="5">
        <v>79</v>
      </c>
      <c r="K40" s="5">
        <v>98</v>
      </c>
      <c r="L40" s="5">
        <v>106</v>
      </c>
      <c r="M40" s="5">
        <v>125</v>
      </c>
      <c r="N40" s="5">
        <v>194</v>
      </c>
      <c r="O40" s="5">
        <v>272</v>
      </c>
      <c r="P40" s="5">
        <v>258</v>
      </c>
      <c r="Q40" s="5">
        <v>258</v>
      </c>
      <c r="R40" s="5">
        <v>259</v>
      </c>
      <c r="S40" s="5">
        <v>257</v>
      </c>
      <c r="T40" s="6">
        <v>320</v>
      </c>
      <c r="U40" s="6"/>
    </row>
    <row r="41" spans="2:21" x14ac:dyDescent="0.35">
      <c r="B41" s="4"/>
      <c r="C41" s="4" t="s">
        <v>136</v>
      </c>
      <c r="D41" s="5" t="s">
        <v>146</v>
      </c>
      <c r="E41" s="5">
        <v>75</v>
      </c>
      <c r="F41" s="5">
        <v>150</v>
      </c>
      <c r="G41" s="5">
        <v>171</v>
      </c>
      <c r="H41" s="5">
        <v>159</v>
      </c>
      <c r="I41" s="5">
        <v>152</v>
      </c>
      <c r="J41" s="5">
        <v>165</v>
      </c>
      <c r="K41" s="5">
        <v>193</v>
      </c>
      <c r="L41" s="5">
        <v>143</v>
      </c>
      <c r="M41" s="5">
        <v>210</v>
      </c>
      <c r="N41" s="5">
        <v>250</v>
      </c>
      <c r="O41" s="5">
        <v>258</v>
      </c>
      <c r="P41" s="5">
        <v>273</v>
      </c>
      <c r="Q41" s="5">
        <v>268</v>
      </c>
      <c r="R41" s="5">
        <v>289</v>
      </c>
      <c r="S41" s="5">
        <v>289</v>
      </c>
      <c r="T41" s="6">
        <v>347</v>
      </c>
      <c r="U41" s="6"/>
    </row>
    <row r="42" spans="2:21" x14ac:dyDescent="0.35">
      <c r="B42" s="4"/>
      <c r="C42" s="4" t="s">
        <v>136</v>
      </c>
      <c r="D42" s="5" t="s">
        <v>149</v>
      </c>
      <c r="E42" s="5">
        <v>6</v>
      </c>
      <c r="F42" s="5">
        <v>23</v>
      </c>
      <c r="G42" s="5">
        <v>21</v>
      </c>
      <c r="H42" s="5">
        <v>12</v>
      </c>
      <c r="I42" s="5">
        <v>58</v>
      </c>
      <c r="J42" s="5">
        <v>45</v>
      </c>
      <c r="K42" s="5">
        <v>60</v>
      </c>
      <c r="L42" s="5">
        <v>63</v>
      </c>
      <c r="M42" s="5">
        <v>91</v>
      </c>
      <c r="N42" s="5">
        <v>206</v>
      </c>
      <c r="O42" s="5">
        <v>213</v>
      </c>
      <c r="P42" s="5">
        <v>181</v>
      </c>
      <c r="Q42" s="5">
        <v>206</v>
      </c>
      <c r="R42" s="5">
        <v>218</v>
      </c>
      <c r="S42" s="5">
        <v>235</v>
      </c>
      <c r="T42" s="6">
        <v>350</v>
      </c>
      <c r="U42" s="6"/>
    </row>
    <row r="43" spans="2:21" x14ac:dyDescent="0.35">
      <c r="B43" s="4"/>
      <c r="C43" s="4" t="s">
        <v>152</v>
      </c>
      <c r="D43" s="5" t="s">
        <v>140</v>
      </c>
      <c r="E43" s="5">
        <v>62</v>
      </c>
      <c r="F43" s="5">
        <v>81</v>
      </c>
      <c r="G43" s="5">
        <v>122</v>
      </c>
      <c r="H43" s="5">
        <v>109</v>
      </c>
      <c r="I43" s="5">
        <v>107</v>
      </c>
      <c r="J43" s="5">
        <v>110</v>
      </c>
      <c r="K43" s="5">
        <v>114</v>
      </c>
      <c r="L43" s="5">
        <v>118</v>
      </c>
      <c r="M43" s="5">
        <v>137</v>
      </c>
      <c r="N43" s="5">
        <v>159</v>
      </c>
      <c r="O43" s="5">
        <v>187</v>
      </c>
      <c r="P43" s="5">
        <v>163</v>
      </c>
      <c r="Q43" s="5">
        <v>155</v>
      </c>
      <c r="R43" s="5">
        <v>144</v>
      </c>
      <c r="S43" s="5">
        <v>141</v>
      </c>
      <c r="T43" s="6">
        <v>137</v>
      </c>
      <c r="U43" s="6"/>
    </row>
    <row r="44" spans="2:21" x14ac:dyDescent="0.35">
      <c r="B44" s="4"/>
      <c r="C44" s="4" t="s">
        <v>152</v>
      </c>
      <c r="D44" s="5" t="s">
        <v>141</v>
      </c>
      <c r="E44" s="5">
        <v>151</v>
      </c>
      <c r="F44" s="5">
        <v>167</v>
      </c>
      <c r="G44" s="5">
        <v>173</v>
      </c>
      <c r="H44" s="5">
        <v>162</v>
      </c>
      <c r="I44" s="5">
        <v>151</v>
      </c>
      <c r="J44" s="5">
        <v>169</v>
      </c>
      <c r="K44" s="5">
        <v>180</v>
      </c>
      <c r="L44" s="5">
        <v>221</v>
      </c>
      <c r="M44" s="5">
        <v>220</v>
      </c>
      <c r="N44" s="5">
        <v>334</v>
      </c>
      <c r="O44" s="5">
        <v>398</v>
      </c>
      <c r="P44" s="5">
        <v>403</v>
      </c>
      <c r="Q44" s="5">
        <v>450</v>
      </c>
      <c r="R44" s="5">
        <v>377</v>
      </c>
      <c r="S44" s="5">
        <v>410</v>
      </c>
      <c r="T44" s="6">
        <v>378</v>
      </c>
      <c r="U44" s="6"/>
    </row>
    <row r="45" spans="2:21" x14ac:dyDescent="0.35">
      <c r="B45" s="4"/>
      <c r="C45" s="4" t="s">
        <v>152</v>
      </c>
      <c r="D45" s="5" t="s">
        <v>146</v>
      </c>
      <c r="E45" s="5">
        <v>194</v>
      </c>
      <c r="F45" s="5">
        <v>370</v>
      </c>
      <c r="G45" s="5">
        <v>355</v>
      </c>
      <c r="H45" s="5">
        <v>262</v>
      </c>
      <c r="I45" s="5">
        <v>289</v>
      </c>
      <c r="J45" s="5">
        <v>231</v>
      </c>
      <c r="K45" s="5">
        <v>276</v>
      </c>
      <c r="L45" s="5">
        <v>277</v>
      </c>
      <c r="M45" s="5">
        <v>291</v>
      </c>
      <c r="N45" s="5">
        <v>398</v>
      </c>
      <c r="O45" s="5">
        <v>455</v>
      </c>
      <c r="P45" s="5">
        <v>459</v>
      </c>
      <c r="Q45" s="5">
        <v>436</v>
      </c>
      <c r="R45" s="5">
        <v>453</v>
      </c>
      <c r="S45" s="5">
        <v>470</v>
      </c>
      <c r="T45" s="6">
        <v>537</v>
      </c>
      <c r="U45" s="6"/>
    </row>
    <row r="46" spans="2:21" x14ac:dyDescent="0.35">
      <c r="B46" s="4"/>
      <c r="C46" s="4" t="s">
        <v>152</v>
      </c>
      <c r="D46" s="5" t="s">
        <v>149</v>
      </c>
      <c r="E46" s="5">
        <v>15</v>
      </c>
      <c r="F46" s="5">
        <v>27</v>
      </c>
      <c r="G46" s="5">
        <v>26</v>
      </c>
      <c r="H46" s="5">
        <v>53</v>
      </c>
      <c r="I46" s="5">
        <v>42</v>
      </c>
      <c r="J46" s="5">
        <v>62</v>
      </c>
      <c r="K46" s="5">
        <v>78</v>
      </c>
      <c r="L46" s="5">
        <v>74</v>
      </c>
      <c r="M46" s="5">
        <v>101</v>
      </c>
      <c r="N46" s="5">
        <v>288</v>
      </c>
      <c r="O46" s="5">
        <v>284</v>
      </c>
      <c r="P46" s="5">
        <v>219</v>
      </c>
      <c r="Q46" s="5">
        <v>239</v>
      </c>
      <c r="R46" s="5">
        <v>298</v>
      </c>
      <c r="S46" s="5">
        <v>297</v>
      </c>
      <c r="T46" s="6">
        <v>400</v>
      </c>
      <c r="U46" s="6"/>
    </row>
    <row r="47" spans="2:21" x14ac:dyDescent="0.35">
      <c r="B47" s="4"/>
      <c r="C47" s="4" t="s">
        <v>138</v>
      </c>
      <c r="D47" s="5" t="s">
        <v>140</v>
      </c>
      <c r="E47" s="5">
        <v>19</v>
      </c>
      <c r="F47" s="5">
        <v>14</v>
      </c>
      <c r="G47" s="5">
        <v>12</v>
      </c>
      <c r="H47" s="5">
        <v>25</v>
      </c>
      <c r="I47" s="5">
        <v>18</v>
      </c>
      <c r="J47" s="5">
        <v>21</v>
      </c>
      <c r="K47" s="5">
        <v>15</v>
      </c>
      <c r="L47" s="5">
        <v>15</v>
      </c>
      <c r="M47" s="5">
        <v>7</v>
      </c>
      <c r="N47" s="5">
        <v>19</v>
      </c>
      <c r="O47" s="5">
        <v>24</v>
      </c>
      <c r="P47" s="5">
        <v>17</v>
      </c>
      <c r="Q47" s="5">
        <v>11</v>
      </c>
      <c r="R47" s="5">
        <v>16</v>
      </c>
      <c r="S47" s="5">
        <v>20</v>
      </c>
      <c r="T47" s="6">
        <v>16</v>
      </c>
      <c r="U47" s="6"/>
    </row>
    <row r="48" spans="2:21" x14ac:dyDescent="0.35">
      <c r="B48" s="4"/>
      <c r="C48" s="4" t="s">
        <v>138</v>
      </c>
      <c r="D48" s="5" t="s">
        <v>141</v>
      </c>
      <c r="E48" s="5">
        <v>48</v>
      </c>
      <c r="F48" s="5">
        <v>34</v>
      </c>
      <c r="G48" s="5">
        <v>63</v>
      </c>
      <c r="H48" s="5">
        <v>59</v>
      </c>
      <c r="I48" s="5">
        <v>64</v>
      </c>
      <c r="J48" s="5">
        <v>73</v>
      </c>
      <c r="K48" s="5">
        <v>49</v>
      </c>
      <c r="L48" s="5">
        <v>65</v>
      </c>
      <c r="M48" s="5">
        <v>64</v>
      </c>
      <c r="N48" s="5">
        <v>90</v>
      </c>
      <c r="O48" s="5">
        <v>79</v>
      </c>
      <c r="P48" s="5">
        <v>89</v>
      </c>
      <c r="Q48" s="5">
        <v>72</v>
      </c>
      <c r="R48" s="5">
        <v>76</v>
      </c>
      <c r="S48" s="5">
        <v>48</v>
      </c>
      <c r="T48" s="6">
        <v>73</v>
      </c>
      <c r="U48" s="6"/>
    </row>
    <row r="49" spans="2:21" x14ac:dyDescent="0.35">
      <c r="B49" s="4"/>
      <c r="C49" s="4" t="s">
        <v>138</v>
      </c>
      <c r="D49" s="5" t="s">
        <v>146</v>
      </c>
      <c r="E49" s="5">
        <v>43</v>
      </c>
      <c r="F49" s="5">
        <v>48</v>
      </c>
      <c r="G49" s="5">
        <v>45</v>
      </c>
      <c r="H49" s="5">
        <v>42</v>
      </c>
      <c r="I49" s="5">
        <v>63</v>
      </c>
      <c r="J49" s="5">
        <v>45</v>
      </c>
      <c r="K49" s="5">
        <v>39</v>
      </c>
      <c r="L49" s="5">
        <v>21</v>
      </c>
      <c r="M49" s="5">
        <v>31</v>
      </c>
      <c r="N49" s="5">
        <v>40</v>
      </c>
      <c r="O49" s="5">
        <v>50</v>
      </c>
      <c r="P49" s="5">
        <v>24</v>
      </c>
      <c r="Q49" s="5">
        <v>35</v>
      </c>
      <c r="R49" s="5">
        <v>20</v>
      </c>
      <c r="S49" s="5">
        <v>29</v>
      </c>
      <c r="T49" s="6">
        <v>37</v>
      </c>
      <c r="U49" s="6"/>
    </row>
    <row r="50" spans="2:21" x14ac:dyDescent="0.35">
      <c r="B50" s="4"/>
      <c r="C50" s="7" t="s">
        <v>138</v>
      </c>
      <c r="D50" s="9" t="s">
        <v>149</v>
      </c>
      <c r="E50" s="9">
        <v>2</v>
      </c>
      <c r="F50" s="9">
        <v>9</v>
      </c>
      <c r="G50" s="9">
        <v>6</v>
      </c>
      <c r="H50" s="9">
        <v>7</v>
      </c>
      <c r="I50" s="9">
        <v>11</v>
      </c>
      <c r="J50" s="9">
        <v>16</v>
      </c>
      <c r="K50" s="9">
        <v>45</v>
      </c>
      <c r="L50" s="9">
        <v>22</v>
      </c>
      <c r="M50" s="9">
        <v>22</v>
      </c>
      <c r="N50" s="9">
        <v>34</v>
      </c>
      <c r="O50" s="9">
        <v>58</v>
      </c>
      <c r="P50" s="9">
        <v>44</v>
      </c>
      <c r="Q50" s="9">
        <v>43</v>
      </c>
      <c r="R50" s="9">
        <v>63</v>
      </c>
      <c r="S50" s="9">
        <v>48</v>
      </c>
      <c r="T50" s="11">
        <v>51</v>
      </c>
      <c r="U50" s="6"/>
    </row>
    <row r="51" spans="2:21" x14ac:dyDescent="0.35"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1"/>
    </row>
    <row r="52" spans="2:21" x14ac:dyDescent="0.3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2:21" ht="13.15" x14ac:dyDescent="0.4">
      <c r="B53" s="75" t="s">
        <v>304</v>
      </c>
      <c r="C53" s="73"/>
      <c r="D53" s="73"/>
      <c r="E53" s="73"/>
      <c r="F53" s="73"/>
      <c r="G53" s="73"/>
      <c r="H53" s="73"/>
      <c r="I53" s="73"/>
      <c r="J53" s="74"/>
    </row>
    <row r="54" spans="2:21" x14ac:dyDescent="0.35">
      <c r="B54" s="4"/>
      <c r="C54" s="5"/>
      <c r="D54" s="5"/>
      <c r="E54" s="5"/>
      <c r="F54" s="5"/>
      <c r="G54" s="5"/>
      <c r="H54" s="5"/>
      <c r="I54" s="5"/>
      <c r="J54" s="6"/>
    </row>
    <row r="55" spans="2:21" ht="13.15" x14ac:dyDescent="0.4">
      <c r="B55" s="4"/>
      <c r="C55" s="75" t="s">
        <v>158</v>
      </c>
      <c r="D55" s="72"/>
      <c r="E55" s="72"/>
      <c r="F55" s="72"/>
      <c r="G55" s="72"/>
      <c r="H55" s="72"/>
      <c r="I55" s="76"/>
      <c r="J55" s="6"/>
    </row>
    <row r="56" spans="2:21" x14ac:dyDescent="0.35">
      <c r="B56" s="4"/>
      <c r="C56" s="4" t="s">
        <v>172</v>
      </c>
      <c r="D56" s="5"/>
      <c r="E56" s="5"/>
      <c r="F56" s="5"/>
      <c r="G56" s="5"/>
      <c r="H56" s="5"/>
      <c r="I56" s="6"/>
      <c r="J56" s="6"/>
    </row>
    <row r="57" spans="2:21" x14ac:dyDescent="0.35">
      <c r="B57" s="4"/>
      <c r="C57" s="4"/>
      <c r="D57" s="5"/>
      <c r="E57" s="5"/>
      <c r="F57" s="5"/>
      <c r="G57" s="5"/>
      <c r="H57" s="5"/>
      <c r="I57" s="6"/>
      <c r="J57" s="6"/>
    </row>
    <row r="58" spans="2:21" x14ac:dyDescent="0.35">
      <c r="B58" s="4"/>
      <c r="C58" s="4"/>
      <c r="D58" s="16" t="s">
        <v>151</v>
      </c>
      <c r="E58" s="16" t="s">
        <v>135</v>
      </c>
      <c r="F58" s="16" t="s">
        <v>136</v>
      </c>
      <c r="G58" s="16" t="s">
        <v>155</v>
      </c>
      <c r="H58" s="16" t="s">
        <v>156</v>
      </c>
      <c r="I58" s="17" t="s">
        <v>157</v>
      </c>
      <c r="J58" s="6"/>
    </row>
    <row r="59" spans="2:21" x14ac:dyDescent="0.35">
      <c r="B59" s="4"/>
      <c r="C59" s="4" t="s">
        <v>153</v>
      </c>
      <c r="D59" s="16">
        <v>7.9</v>
      </c>
      <c r="E59" s="16">
        <v>3.1</v>
      </c>
      <c r="F59" s="16">
        <v>4.0999999999999996</v>
      </c>
      <c r="G59" s="16">
        <v>4.8</v>
      </c>
      <c r="H59" s="16">
        <v>45.5</v>
      </c>
      <c r="I59" s="17">
        <v>6.5</v>
      </c>
      <c r="J59" s="6"/>
    </row>
    <row r="60" spans="2:21" x14ac:dyDescent="0.35">
      <c r="B60" s="4"/>
      <c r="C60" s="4" t="s">
        <v>154</v>
      </c>
      <c r="D60" s="16">
        <v>1</v>
      </c>
      <c r="E60" s="16">
        <v>0.6</v>
      </c>
      <c r="F60" s="16">
        <v>0.9</v>
      </c>
      <c r="G60" s="16">
        <v>0.5</v>
      </c>
      <c r="H60" s="16">
        <v>5.7</v>
      </c>
      <c r="I60" s="17">
        <v>0.8</v>
      </c>
      <c r="J60" s="6"/>
    </row>
    <row r="61" spans="2:21" x14ac:dyDescent="0.35">
      <c r="B61" s="4"/>
      <c r="C61" s="4" t="s">
        <v>170</v>
      </c>
      <c r="D61" s="16" t="s">
        <v>159</v>
      </c>
      <c r="E61" s="16" t="s">
        <v>160</v>
      </c>
      <c r="F61" s="16" t="s">
        <v>161</v>
      </c>
      <c r="G61" s="16" t="s">
        <v>162</v>
      </c>
      <c r="H61" s="16" t="s">
        <v>163</v>
      </c>
      <c r="I61" s="17" t="s">
        <v>164</v>
      </c>
      <c r="J61" s="6"/>
    </row>
    <row r="62" spans="2:21" x14ac:dyDescent="0.35">
      <c r="B62" s="4"/>
      <c r="C62" s="7" t="s">
        <v>171</v>
      </c>
      <c r="D62" s="18" t="s">
        <v>165</v>
      </c>
      <c r="E62" s="18" t="s">
        <v>166</v>
      </c>
      <c r="F62" s="18" t="s">
        <v>167</v>
      </c>
      <c r="G62" s="18" t="s">
        <v>168</v>
      </c>
      <c r="H62" s="18" t="s">
        <v>168</v>
      </c>
      <c r="I62" s="19" t="s">
        <v>169</v>
      </c>
      <c r="J62" s="6"/>
    </row>
    <row r="63" spans="2:21" x14ac:dyDescent="0.35">
      <c r="B63" s="4"/>
      <c r="C63" s="5"/>
      <c r="D63" s="16"/>
      <c r="E63" s="16"/>
      <c r="F63" s="16"/>
      <c r="G63" s="16"/>
      <c r="H63" s="16"/>
      <c r="I63" s="16"/>
      <c r="J63" s="6"/>
    </row>
    <row r="64" spans="2:21" s="23" customFormat="1" ht="13.15" x14ac:dyDescent="0.4">
      <c r="B64" s="79"/>
      <c r="C64" s="75" t="s">
        <v>174</v>
      </c>
      <c r="D64" s="77"/>
      <c r="E64" s="77"/>
      <c r="F64" s="77"/>
      <c r="G64" s="77"/>
      <c r="H64" s="77"/>
      <c r="I64" s="78"/>
      <c r="J64" s="80"/>
    </row>
    <row r="65" spans="2:10" x14ac:dyDescent="0.35">
      <c r="B65" s="4"/>
      <c r="C65" s="4" t="s">
        <v>172</v>
      </c>
      <c r="D65" s="16"/>
      <c r="E65" s="16"/>
      <c r="F65" s="16"/>
      <c r="G65" s="16"/>
      <c r="H65" s="16"/>
      <c r="I65" s="17"/>
      <c r="J65" s="6"/>
    </row>
    <row r="66" spans="2:10" x14ac:dyDescent="0.35">
      <c r="B66" s="4"/>
      <c r="C66" s="4"/>
      <c r="D66" s="16"/>
      <c r="E66" s="16"/>
      <c r="F66" s="16"/>
      <c r="G66" s="16"/>
      <c r="H66" s="16"/>
      <c r="I66" s="17"/>
      <c r="J66" s="6"/>
    </row>
    <row r="67" spans="2:10" x14ac:dyDescent="0.35">
      <c r="B67" s="4"/>
      <c r="C67" s="4"/>
      <c r="D67" s="16" t="s">
        <v>151</v>
      </c>
      <c r="E67" s="16" t="s">
        <v>135</v>
      </c>
      <c r="F67" s="16" t="s">
        <v>136</v>
      </c>
      <c r="G67" s="16" t="s">
        <v>155</v>
      </c>
      <c r="H67" s="16" t="s">
        <v>156</v>
      </c>
      <c r="I67" s="17" t="s">
        <v>157</v>
      </c>
      <c r="J67" s="6"/>
    </row>
    <row r="68" spans="2:10" x14ac:dyDescent="0.35">
      <c r="B68" s="4"/>
      <c r="C68" s="4" t="s">
        <v>153</v>
      </c>
      <c r="D68" s="16"/>
      <c r="E68" s="16"/>
      <c r="F68" s="16">
        <v>89.9</v>
      </c>
      <c r="G68" s="16">
        <v>145.4</v>
      </c>
      <c r="H68" s="16">
        <v>451.4</v>
      </c>
      <c r="I68" s="17">
        <v>156.1</v>
      </c>
      <c r="J68" s="6"/>
    </row>
    <row r="69" spans="2:10" x14ac:dyDescent="0.35">
      <c r="B69" s="4"/>
      <c r="C69" s="4" t="s">
        <v>154</v>
      </c>
      <c r="D69" s="16"/>
      <c r="E69" s="16"/>
      <c r="F69" s="16">
        <v>10</v>
      </c>
      <c r="G69" s="16">
        <v>34</v>
      </c>
      <c r="H69" s="16">
        <v>212.6</v>
      </c>
      <c r="I69" s="17">
        <v>30.1</v>
      </c>
      <c r="J69" s="6"/>
    </row>
    <row r="70" spans="2:10" x14ac:dyDescent="0.35">
      <c r="B70" s="4"/>
      <c r="C70" s="4" t="s">
        <v>170</v>
      </c>
      <c r="D70" s="16"/>
      <c r="E70" s="16"/>
      <c r="F70" s="16" t="s">
        <v>177</v>
      </c>
      <c r="G70" s="16" t="s">
        <v>178</v>
      </c>
      <c r="H70" s="16" t="s">
        <v>179</v>
      </c>
      <c r="I70" s="17" t="s">
        <v>180</v>
      </c>
      <c r="J70" s="6"/>
    </row>
    <row r="71" spans="2:10" x14ac:dyDescent="0.35">
      <c r="B71" s="4"/>
      <c r="C71" s="7" t="s">
        <v>171</v>
      </c>
      <c r="D71" s="18"/>
      <c r="E71" s="18"/>
      <c r="F71" s="18" t="s">
        <v>181</v>
      </c>
      <c r="G71" s="18" t="s">
        <v>182</v>
      </c>
      <c r="H71" s="18" t="s">
        <v>183</v>
      </c>
      <c r="I71" s="19" t="s">
        <v>184</v>
      </c>
      <c r="J71" s="6"/>
    </row>
    <row r="72" spans="2:10" x14ac:dyDescent="0.35">
      <c r="B72" s="4"/>
      <c r="C72" s="5"/>
      <c r="D72" s="16"/>
      <c r="E72" s="16"/>
      <c r="F72" s="16"/>
      <c r="G72" s="16"/>
      <c r="H72" s="16"/>
      <c r="I72" s="16"/>
      <c r="J72" s="6"/>
    </row>
    <row r="73" spans="2:10" s="23" customFormat="1" ht="13.15" x14ac:dyDescent="0.4">
      <c r="B73" s="79"/>
      <c r="C73" s="75" t="s">
        <v>173</v>
      </c>
      <c r="D73" s="77"/>
      <c r="E73" s="77"/>
      <c r="F73" s="77"/>
      <c r="G73" s="77"/>
      <c r="H73" s="77"/>
      <c r="I73" s="78"/>
      <c r="J73" s="80"/>
    </row>
    <row r="74" spans="2:10" x14ac:dyDescent="0.35">
      <c r="B74" s="4"/>
      <c r="C74" s="4" t="s">
        <v>172</v>
      </c>
      <c r="D74" s="16"/>
      <c r="E74" s="16"/>
      <c r="F74" s="16"/>
      <c r="G74" s="16"/>
      <c r="H74" s="16"/>
      <c r="I74" s="17"/>
      <c r="J74" s="6"/>
    </row>
    <row r="75" spans="2:10" x14ac:dyDescent="0.35">
      <c r="B75" s="4"/>
      <c r="C75" s="4"/>
      <c r="D75" s="16"/>
      <c r="E75" s="16"/>
      <c r="F75" s="16"/>
      <c r="G75" s="16"/>
      <c r="H75" s="16"/>
      <c r="I75" s="17"/>
      <c r="J75" s="6"/>
    </row>
    <row r="76" spans="2:10" x14ac:dyDescent="0.35">
      <c r="B76" s="4"/>
      <c r="C76" s="4"/>
      <c r="D76" s="16" t="s">
        <v>151</v>
      </c>
      <c r="E76" s="16" t="s">
        <v>135</v>
      </c>
      <c r="F76" s="16" t="s">
        <v>136</v>
      </c>
      <c r="G76" s="16" t="s">
        <v>155</v>
      </c>
      <c r="H76" s="16" t="s">
        <v>156</v>
      </c>
      <c r="I76" s="17" t="s">
        <v>157</v>
      </c>
      <c r="J76" s="6"/>
    </row>
    <row r="77" spans="2:10" x14ac:dyDescent="0.35">
      <c r="B77" s="4"/>
      <c r="C77" s="4" t="s">
        <v>153</v>
      </c>
      <c r="D77" s="16"/>
      <c r="E77" s="16"/>
      <c r="F77" s="16">
        <v>21.3</v>
      </c>
      <c r="G77" s="16">
        <v>55.4</v>
      </c>
      <c r="H77" s="16">
        <v>156.1</v>
      </c>
      <c r="I77" s="17">
        <v>55.5</v>
      </c>
      <c r="J77" s="6"/>
    </row>
    <row r="78" spans="2:10" x14ac:dyDescent="0.35">
      <c r="B78" s="4"/>
      <c r="C78" s="4" t="s">
        <v>154</v>
      </c>
      <c r="D78" s="16"/>
      <c r="E78" s="16"/>
      <c r="F78" s="16">
        <v>2</v>
      </c>
      <c r="G78" s="16">
        <v>7</v>
      </c>
      <c r="H78" s="16">
        <v>22.5</v>
      </c>
      <c r="I78" s="17">
        <v>5</v>
      </c>
      <c r="J78" s="6"/>
    </row>
    <row r="79" spans="2:10" x14ac:dyDescent="0.35">
      <c r="B79" s="4"/>
      <c r="C79" s="4" t="s">
        <v>170</v>
      </c>
      <c r="D79" s="16"/>
      <c r="E79" s="16"/>
      <c r="F79" s="16" t="s">
        <v>177</v>
      </c>
      <c r="G79" s="16" t="s">
        <v>178</v>
      </c>
      <c r="H79" s="16" t="s">
        <v>179</v>
      </c>
      <c r="I79" s="17" t="s">
        <v>180</v>
      </c>
      <c r="J79" s="6"/>
    </row>
    <row r="80" spans="2:10" x14ac:dyDescent="0.35">
      <c r="B80" s="4"/>
      <c r="C80" s="7" t="s">
        <v>171</v>
      </c>
      <c r="D80" s="18"/>
      <c r="E80" s="18"/>
      <c r="F80" s="18" t="s">
        <v>185</v>
      </c>
      <c r="G80" s="18" t="s">
        <v>186</v>
      </c>
      <c r="H80" s="18" t="s">
        <v>184</v>
      </c>
      <c r="I80" s="19" t="s">
        <v>187</v>
      </c>
      <c r="J80" s="6"/>
    </row>
    <row r="81" spans="2:10" x14ac:dyDescent="0.35">
      <c r="B81" s="4"/>
      <c r="C81" s="5"/>
      <c r="D81" s="16"/>
      <c r="E81" s="16"/>
      <c r="F81" s="16"/>
      <c r="G81" s="16"/>
      <c r="H81" s="16"/>
      <c r="I81" s="16"/>
      <c r="J81" s="6"/>
    </row>
    <row r="82" spans="2:10" s="23" customFormat="1" ht="13.15" x14ac:dyDescent="0.4">
      <c r="B82" s="79"/>
      <c r="C82" s="75" t="s">
        <v>176</v>
      </c>
      <c r="D82" s="77"/>
      <c r="E82" s="77"/>
      <c r="F82" s="77"/>
      <c r="G82" s="77"/>
      <c r="H82" s="77"/>
      <c r="I82" s="78"/>
      <c r="J82" s="80"/>
    </row>
    <row r="83" spans="2:10" x14ac:dyDescent="0.35">
      <c r="B83" s="4"/>
      <c r="C83" s="4" t="s">
        <v>172</v>
      </c>
      <c r="D83" s="16"/>
      <c r="E83" s="16"/>
      <c r="F83" s="16"/>
      <c r="G83" s="16"/>
      <c r="H83" s="16"/>
      <c r="I83" s="17"/>
      <c r="J83" s="6"/>
    </row>
    <row r="84" spans="2:10" x14ac:dyDescent="0.35">
      <c r="B84" s="4"/>
      <c r="C84" s="4"/>
      <c r="D84" s="16"/>
      <c r="E84" s="16"/>
      <c r="F84" s="16"/>
      <c r="G84" s="16"/>
      <c r="H84" s="16"/>
      <c r="I84" s="17"/>
      <c r="J84" s="6"/>
    </row>
    <row r="85" spans="2:10" x14ac:dyDescent="0.35">
      <c r="B85" s="4"/>
      <c r="C85" s="4"/>
      <c r="D85" s="16" t="s">
        <v>151</v>
      </c>
      <c r="E85" s="16" t="s">
        <v>135</v>
      </c>
      <c r="F85" s="16" t="s">
        <v>136</v>
      </c>
      <c r="G85" s="16" t="s">
        <v>155</v>
      </c>
      <c r="H85" s="16" t="s">
        <v>156</v>
      </c>
      <c r="I85" s="17" t="s">
        <v>157</v>
      </c>
      <c r="J85" s="6"/>
    </row>
    <row r="86" spans="2:10" x14ac:dyDescent="0.35">
      <c r="B86" s="4"/>
      <c r="C86" s="4" t="s">
        <v>153</v>
      </c>
      <c r="D86" s="16">
        <v>72.7</v>
      </c>
      <c r="E86" s="16">
        <v>10.199999999999999</v>
      </c>
      <c r="F86" s="16">
        <v>254</v>
      </c>
      <c r="G86" s="16">
        <v>394.2</v>
      </c>
      <c r="H86" s="16">
        <v>646.29999999999995</v>
      </c>
      <c r="I86" s="17">
        <v>426.9</v>
      </c>
      <c r="J86" s="6"/>
    </row>
    <row r="87" spans="2:10" x14ac:dyDescent="0.35">
      <c r="B87" s="4"/>
      <c r="C87" s="4" t="s">
        <v>154</v>
      </c>
      <c r="D87" s="16">
        <v>11.5</v>
      </c>
      <c r="E87" s="16">
        <v>5.7</v>
      </c>
      <c r="F87" s="16">
        <v>44.5</v>
      </c>
      <c r="G87" s="16">
        <v>143</v>
      </c>
      <c r="H87" s="16">
        <v>385.3</v>
      </c>
      <c r="I87" s="17">
        <v>163</v>
      </c>
      <c r="J87" s="6"/>
    </row>
    <row r="88" spans="2:10" x14ac:dyDescent="0.35">
      <c r="B88" s="4"/>
      <c r="C88" s="4" t="s">
        <v>170</v>
      </c>
      <c r="D88" s="16" t="s">
        <v>188</v>
      </c>
      <c r="E88" s="16" t="s">
        <v>189</v>
      </c>
      <c r="F88" s="16" t="s">
        <v>190</v>
      </c>
      <c r="G88" s="16" t="s">
        <v>191</v>
      </c>
      <c r="H88" s="16" t="s">
        <v>192</v>
      </c>
      <c r="I88" s="17" t="s">
        <v>193</v>
      </c>
      <c r="J88" s="6"/>
    </row>
    <row r="89" spans="2:10" x14ac:dyDescent="0.35">
      <c r="B89" s="4"/>
      <c r="C89" s="7" t="s">
        <v>171</v>
      </c>
      <c r="D89" s="20">
        <v>0.04</v>
      </c>
      <c r="E89" s="20">
        <v>0.06</v>
      </c>
      <c r="F89" s="20">
        <v>0.11</v>
      </c>
      <c r="G89" s="20">
        <v>0.23</v>
      </c>
      <c r="H89" s="20">
        <v>0.41</v>
      </c>
      <c r="I89" s="21">
        <v>0.21</v>
      </c>
      <c r="J89" s="6"/>
    </row>
    <row r="90" spans="2:10" x14ac:dyDescent="0.35">
      <c r="B90" s="4"/>
      <c r="C90" s="5"/>
      <c r="D90" s="16"/>
      <c r="E90" s="16"/>
      <c r="F90" s="16"/>
      <c r="G90" s="16"/>
      <c r="H90" s="16"/>
      <c r="I90" s="16"/>
      <c r="J90" s="6"/>
    </row>
    <row r="91" spans="2:10" s="23" customFormat="1" ht="13.15" x14ac:dyDescent="0.4">
      <c r="B91" s="79"/>
      <c r="C91" s="75" t="s">
        <v>173</v>
      </c>
      <c r="D91" s="77"/>
      <c r="E91" s="77"/>
      <c r="F91" s="77"/>
      <c r="G91" s="77"/>
      <c r="H91" s="77"/>
      <c r="I91" s="78"/>
      <c r="J91" s="80"/>
    </row>
    <row r="92" spans="2:10" x14ac:dyDescent="0.35">
      <c r="B92" s="4"/>
      <c r="C92" s="4" t="s">
        <v>172</v>
      </c>
      <c r="D92" s="16"/>
      <c r="E92" s="16"/>
      <c r="F92" s="16"/>
      <c r="G92" s="16"/>
      <c r="H92" s="16"/>
      <c r="I92" s="17"/>
      <c r="J92" s="6"/>
    </row>
    <row r="93" spans="2:10" x14ac:dyDescent="0.35">
      <c r="B93" s="4"/>
      <c r="C93" s="4"/>
      <c r="D93" s="16"/>
      <c r="E93" s="16"/>
      <c r="F93" s="16"/>
      <c r="G93" s="16"/>
      <c r="H93" s="16"/>
      <c r="I93" s="17"/>
      <c r="J93" s="6"/>
    </row>
    <row r="94" spans="2:10" x14ac:dyDescent="0.35">
      <c r="B94" s="4"/>
      <c r="C94" s="4"/>
      <c r="D94" s="16" t="s">
        <v>151</v>
      </c>
      <c r="E94" s="16" t="s">
        <v>135</v>
      </c>
      <c r="F94" s="16" t="s">
        <v>136</v>
      </c>
      <c r="G94" s="16" t="s">
        <v>155</v>
      </c>
      <c r="H94" s="16" t="s">
        <v>156</v>
      </c>
      <c r="I94" s="17" t="s">
        <v>157</v>
      </c>
      <c r="J94" s="6"/>
    </row>
    <row r="95" spans="2:10" x14ac:dyDescent="0.35">
      <c r="B95" s="4"/>
      <c r="C95" s="4" t="s">
        <v>153</v>
      </c>
      <c r="D95" s="16"/>
      <c r="E95" s="16"/>
      <c r="F95" s="16">
        <v>24.3</v>
      </c>
      <c r="G95" s="16">
        <v>57.3</v>
      </c>
      <c r="H95" s="16">
        <v>80.7</v>
      </c>
      <c r="I95" s="17">
        <v>58.6</v>
      </c>
      <c r="J95" s="6"/>
    </row>
    <row r="96" spans="2:10" x14ac:dyDescent="0.35">
      <c r="B96" s="4"/>
      <c r="C96" s="4" t="s">
        <v>154</v>
      </c>
      <c r="D96" s="16"/>
      <c r="E96" s="16"/>
      <c r="F96" s="16">
        <v>7.5</v>
      </c>
      <c r="G96" s="16">
        <v>16</v>
      </c>
      <c r="H96" s="16">
        <v>25</v>
      </c>
      <c r="I96" s="17">
        <v>17</v>
      </c>
      <c r="J96" s="6"/>
    </row>
    <row r="97" spans="2:10" x14ac:dyDescent="0.35">
      <c r="B97" s="4"/>
      <c r="C97" s="4" t="s">
        <v>170</v>
      </c>
      <c r="D97" s="16"/>
      <c r="E97" s="16"/>
      <c r="F97" s="16" t="s">
        <v>190</v>
      </c>
      <c r="G97" s="16" t="s">
        <v>191</v>
      </c>
      <c r="H97" s="16" t="s">
        <v>192</v>
      </c>
      <c r="I97" s="17" t="s">
        <v>193</v>
      </c>
      <c r="J97" s="6"/>
    </row>
    <row r="98" spans="2:10" x14ac:dyDescent="0.35">
      <c r="B98" s="4"/>
      <c r="C98" s="7" t="s">
        <v>171</v>
      </c>
      <c r="D98" s="18"/>
      <c r="E98" s="18"/>
      <c r="F98" s="20">
        <v>0.06</v>
      </c>
      <c r="G98" s="20">
        <v>0.15</v>
      </c>
      <c r="H98" s="20">
        <v>0.25</v>
      </c>
      <c r="I98" s="21">
        <v>0.13</v>
      </c>
      <c r="J98" s="6"/>
    </row>
    <row r="99" spans="2:10" x14ac:dyDescent="0.35">
      <c r="B99" s="4"/>
      <c r="C99" s="5"/>
      <c r="D99" s="16"/>
      <c r="E99" s="16"/>
      <c r="F99" s="16"/>
      <c r="G99" s="16"/>
      <c r="H99" s="16"/>
      <c r="I99" s="16"/>
      <c r="J99" s="6"/>
    </row>
    <row r="100" spans="2:10" s="23" customFormat="1" ht="13.15" x14ac:dyDescent="0.4">
      <c r="B100" s="79"/>
      <c r="C100" s="75" t="s">
        <v>175</v>
      </c>
      <c r="D100" s="77"/>
      <c r="E100" s="77"/>
      <c r="F100" s="77"/>
      <c r="G100" s="77"/>
      <c r="H100" s="77"/>
      <c r="I100" s="78"/>
      <c r="J100" s="80"/>
    </row>
    <row r="101" spans="2:10" x14ac:dyDescent="0.35">
      <c r="B101" s="4"/>
      <c r="C101" s="4" t="s">
        <v>172</v>
      </c>
      <c r="D101" s="16"/>
      <c r="E101" s="16"/>
      <c r="F101" s="16"/>
      <c r="G101" s="16"/>
      <c r="H101" s="16"/>
      <c r="I101" s="17"/>
      <c r="J101" s="6"/>
    </row>
    <row r="102" spans="2:10" x14ac:dyDescent="0.35">
      <c r="B102" s="4"/>
      <c r="C102" s="4"/>
      <c r="D102" s="16"/>
      <c r="E102" s="16"/>
      <c r="F102" s="16"/>
      <c r="G102" s="16"/>
      <c r="H102" s="16"/>
      <c r="I102" s="17"/>
      <c r="J102" s="6"/>
    </row>
    <row r="103" spans="2:10" x14ac:dyDescent="0.35">
      <c r="B103" s="4"/>
      <c r="C103" s="4"/>
      <c r="D103" s="16" t="s">
        <v>151</v>
      </c>
      <c r="E103" s="16" t="s">
        <v>135</v>
      </c>
      <c r="F103" s="16" t="s">
        <v>136</v>
      </c>
      <c r="G103" s="16" t="s">
        <v>155</v>
      </c>
      <c r="H103" s="16" t="s">
        <v>156</v>
      </c>
      <c r="I103" s="17" t="s">
        <v>157</v>
      </c>
      <c r="J103" s="6"/>
    </row>
    <row r="104" spans="2:10" x14ac:dyDescent="0.35">
      <c r="B104" s="4"/>
      <c r="C104" s="4" t="s">
        <v>153</v>
      </c>
      <c r="D104" s="16"/>
      <c r="E104" s="16">
        <v>53.5</v>
      </c>
      <c r="F104" s="16">
        <v>189.7</v>
      </c>
      <c r="G104" s="16">
        <v>1042.7</v>
      </c>
      <c r="H104" s="16">
        <v>4082.8</v>
      </c>
      <c r="I104" s="17">
        <v>1021.7</v>
      </c>
      <c r="J104" s="6"/>
    </row>
    <row r="105" spans="2:10" x14ac:dyDescent="0.35">
      <c r="B105" s="4"/>
      <c r="C105" s="4" t="s">
        <v>154</v>
      </c>
      <c r="D105" s="16"/>
      <c r="E105" s="16">
        <v>12.5</v>
      </c>
      <c r="F105" s="16">
        <v>25</v>
      </c>
      <c r="G105" s="16">
        <v>95.4</v>
      </c>
      <c r="H105" s="16">
        <v>526.20000000000005</v>
      </c>
      <c r="I105" s="17">
        <v>64.5</v>
      </c>
      <c r="J105" s="6"/>
    </row>
    <row r="106" spans="2:10" x14ac:dyDescent="0.35">
      <c r="B106" s="4"/>
      <c r="C106" s="4" t="s">
        <v>170</v>
      </c>
      <c r="D106" s="16"/>
      <c r="E106" s="16" t="s">
        <v>194</v>
      </c>
      <c r="F106" s="16" t="s">
        <v>195</v>
      </c>
      <c r="G106" s="16" t="s">
        <v>161</v>
      </c>
      <c r="H106" s="16" t="s">
        <v>196</v>
      </c>
      <c r="I106" s="17" t="s">
        <v>197</v>
      </c>
      <c r="J106" s="6"/>
    </row>
    <row r="107" spans="2:10" x14ac:dyDescent="0.35">
      <c r="B107" s="4"/>
      <c r="C107" s="7" t="s">
        <v>171</v>
      </c>
      <c r="D107" s="18"/>
      <c r="E107" s="18" t="s">
        <v>198</v>
      </c>
      <c r="F107" s="18" t="s">
        <v>169</v>
      </c>
      <c r="G107" s="18" t="s">
        <v>199</v>
      </c>
      <c r="H107" s="18" t="s">
        <v>200</v>
      </c>
      <c r="I107" s="19" t="s">
        <v>201</v>
      </c>
      <c r="J107" s="6"/>
    </row>
    <row r="108" spans="2:10" x14ac:dyDescent="0.35">
      <c r="B108" s="4"/>
      <c r="C108" s="5"/>
      <c r="D108" s="16"/>
      <c r="E108" s="16"/>
      <c r="F108" s="16"/>
      <c r="G108" s="16"/>
      <c r="H108" s="16"/>
      <c r="I108" s="16"/>
      <c r="J108" s="6"/>
    </row>
    <row r="109" spans="2:10" x14ac:dyDescent="0.35">
      <c r="B109" s="4"/>
      <c r="C109" s="5"/>
      <c r="D109" s="16"/>
      <c r="E109" s="16"/>
      <c r="F109" s="16"/>
      <c r="G109" s="16"/>
      <c r="H109" s="16"/>
      <c r="I109" s="16"/>
      <c r="J109" s="6"/>
    </row>
    <row r="110" spans="2:10" s="23" customFormat="1" ht="13.15" x14ac:dyDescent="0.4">
      <c r="B110" s="79"/>
      <c r="C110" s="75" t="s">
        <v>207</v>
      </c>
      <c r="D110" s="77"/>
      <c r="E110" s="77"/>
      <c r="F110" s="77"/>
      <c r="G110" s="77"/>
      <c r="H110" s="78"/>
      <c r="I110" s="124"/>
      <c r="J110" s="80"/>
    </row>
    <row r="111" spans="2:10" x14ac:dyDescent="0.35">
      <c r="B111" s="4"/>
      <c r="C111" s="4" t="s">
        <v>206</v>
      </c>
      <c r="D111" s="16"/>
      <c r="E111" s="16"/>
      <c r="F111" s="16"/>
      <c r="G111" s="16"/>
      <c r="H111" s="17"/>
      <c r="I111" s="123"/>
      <c r="J111" s="6"/>
    </row>
    <row r="112" spans="2:10" x14ac:dyDescent="0.35">
      <c r="B112" s="4"/>
      <c r="C112" s="4"/>
      <c r="D112" s="16"/>
      <c r="E112" s="16"/>
      <c r="F112" s="16"/>
      <c r="G112" s="16"/>
      <c r="H112" s="17"/>
      <c r="I112" s="123"/>
      <c r="J112" s="6"/>
    </row>
    <row r="113" spans="2:10" x14ac:dyDescent="0.35">
      <c r="B113" s="4"/>
      <c r="C113" s="4" t="s">
        <v>209</v>
      </c>
      <c r="D113" s="16" t="s">
        <v>208</v>
      </c>
      <c r="E113" s="16" t="s">
        <v>202</v>
      </c>
      <c r="F113" s="16" t="s">
        <v>203</v>
      </c>
      <c r="G113" s="16" t="s">
        <v>204</v>
      </c>
      <c r="H113" s="17" t="s">
        <v>205</v>
      </c>
      <c r="I113" s="123"/>
      <c r="J113" s="6"/>
    </row>
    <row r="114" spans="2:10" x14ac:dyDescent="0.35">
      <c r="B114" s="4"/>
      <c r="C114" s="4" t="s">
        <v>210</v>
      </c>
      <c r="D114" s="16" t="s">
        <v>153</v>
      </c>
      <c r="E114" s="16">
        <v>4.5999999999999996</v>
      </c>
      <c r="F114" s="16">
        <v>13.2</v>
      </c>
      <c r="G114" s="16">
        <v>13.6</v>
      </c>
      <c r="H114" s="17">
        <v>12.9</v>
      </c>
      <c r="I114" s="123"/>
      <c r="J114" s="6"/>
    </row>
    <row r="115" spans="2:10" x14ac:dyDescent="0.35">
      <c r="B115" s="4"/>
      <c r="C115" s="4" t="s">
        <v>210</v>
      </c>
      <c r="D115" s="16" t="s">
        <v>154</v>
      </c>
      <c r="E115" s="16">
        <v>0.5</v>
      </c>
      <c r="F115" s="16">
        <v>1.7</v>
      </c>
      <c r="G115" s="16">
        <v>1.5</v>
      </c>
      <c r="H115" s="17">
        <v>2</v>
      </c>
      <c r="I115" s="123"/>
      <c r="J115" s="6"/>
    </row>
    <row r="116" spans="2:10" x14ac:dyDescent="0.35">
      <c r="B116" s="4"/>
      <c r="C116" s="4" t="s">
        <v>211</v>
      </c>
      <c r="D116" s="16" t="s">
        <v>153</v>
      </c>
      <c r="E116" s="16">
        <v>9.6</v>
      </c>
      <c r="F116" s="16">
        <v>21.7</v>
      </c>
      <c r="G116" s="16">
        <v>24.3</v>
      </c>
      <c r="H116" s="17">
        <v>28</v>
      </c>
      <c r="I116" s="123"/>
      <c r="J116" s="6"/>
    </row>
    <row r="117" spans="2:10" x14ac:dyDescent="0.35">
      <c r="B117" s="4"/>
      <c r="C117" s="4" t="s">
        <v>211</v>
      </c>
      <c r="D117" s="16" t="s">
        <v>154</v>
      </c>
      <c r="E117" s="16">
        <v>2.2000000000000002</v>
      </c>
      <c r="F117" s="16">
        <v>5.5</v>
      </c>
      <c r="G117" s="16">
        <v>5</v>
      </c>
      <c r="H117" s="17">
        <v>8</v>
      </c>
      <c r="I117" s="123"/>
      <c r="J117" s="6"/>
    </row>
    <row r="118" spans="2:10" x14ac:dyDescent="0.35">
      <c r="B118" s="4"/>
      <c r="C118" s="4" t="s">
        <v>212</v>
      </c>
      <c r="D118" s="16" t="s">
        <v>153</v>
      </c>
      <c r="E118" s="16">
        <v>27.6</v>
      </c>
      <c r="F118" s="16">
        <v>52.9</v>
      </c>
      <c r="G118" s="16">
        <v>68.7</v>
      </c>
      <c r="H118" s="17">
        <v>124.3</v>
      </c>
      <c r="I118" s="123"/>
      <c r="J118" s="6"/>
    </row>
    <row r="119" spans="2:10" x14ac:dyDescent="0.35">
      <c r="B119" s="4"/>
      <c r="C119" s="4" t="s">
        <v>212</v>
      </c>
      <c r="D119" s="16" t="s">
        <v>154</v>
      </c>
      <c r="E119" s="16">
        <v>10</v>
      </c>
      <c r="F119" s="16">
        <v>20.5</v>
      </c>
      <c r="G119" s="16">
        <v>31</v>
      </c>
      <c r="H119" s="17">
        <v>38.6</v>
      </c>
      <c r="I119" s="123"/>
      <c r="J119" s="6"/>
    </row>
    <row r="120" spans="2:10" x14ac:dyDescent="0.35">
      <c r="B120" s="4"/>
      <c r="C120" s="4" t="s">
        <v>213</v>
      </c>
      <c r="D120" s="16" t="s">
        <v>153</v>
      </c>
      <c r="E120" s="16">
        <v>88</v>
      </c>
      <c r="F120" s="16">
        <v>182.5</v>
      </c>
      <c r="G120" s="16">
        <v>315.5</v>
      </c>
      <c r="H120" s="153">
        <v>1117</v>
      </c>
      <c r="I120" s="123"/>
      <c r="J120" s="6"/>
    </row>
    <row r="121" spans="2:10" x14ac:dyDescent="0.35">
      <c r="B121" s="4"/>
      <c r="C121" s="7" t="s">
        <v>213</v>
      </c>
      <c r="D121" s="18" t="s">
        <v>154</v>
      </c>
      <c r="E121" s="18">
        <v>20</v>
      </c>
      <c r="F121" s="18">
        <v>115</v>
      </c>
      <c r="G121" s="18">
        <v>98.4</v>
      </c>
      <c r="H121" s="19">
        <v>159</v>
      </c>
      <c r="I121" s="123"/>
      <c r="J121" s="6"/>
    </row>
    <row r="122" spans="2:10" x14ac:dyDescent="0.35">
      <c r="B122" s="4"/>
      <c r="D122" s="123"/>
      <c r="E122" s="123"/>
      <c r="F122" s="123"/>
      <c r="G122" s="123"/>
      <c r="H122" s="123"/>
      <c r="I122" s="123"/>
      <c r="J122" s="6"/>
    </row>
    <row r="123" spans="2:10" ht="13.15" x14ac:dyDescent="0.4">
      <c r="B123" s="4"/>
      <c r="C123" s="75" t="s">
        <v>329</v>
      </c>
      <c r="D123" s="77"/>
      <c r="E123" s="77"/>
      <c r="F123" s="77"/>
      <c r="G123" s="77"/>
      <c r="H123" s="78"/>
      <c r="I123" s="123"/>
      <c r="J123" s="6"/>
    </row>
    <row r="124" spans="2:10" x14ac:dyDescent="0.35">
      <c r="B124" s="4"/>
      <c r="C124" s="4" t="s">
        <v>328</v>
      </c>
      <c r="D124" s="16"/>
      <c r="E124" s="16"/>
      <c r="F124" s="16"/>
      <c r="G124" s="16"/>
      <c r="H124" s="17"/>
      <c r="I124" s="123"/>
      <c r="J124" s="6"/>
    </row>
    <row r="125" spans="2:10" x14ac:dyDescent="0.35">
      <c r="B125" s="4"/>
      <c r="C125" s="4"/>
      <c r="D125" s="16"/>
      <c r="E125" s="16"/>
      <c r="F125" s="16"/>
      <c r="G125" s="16"/>
      <c r="H125" s="17"/>
      <c r="I125" s="123"/>
      <c r="J125" s="6"/>
    </row>
    <row r="126" spans="2:10" x14ac:dyDescent="0.35">
      <c r="B126" s="4"/>
      <c r="C126" s="4"/>
      <c r="D126" s="16"/>
      <c r="E126" s="16" t="s">
        <v>202</v>
      </c>
      <c r="F126" s="16" t="s">
        <v>203</v>
      </c>
      <c r="G126" s="16" t="s">
        <v>204</v>
      </c>
      <c r="H126" s="17" t="s">
        <v>205</v>
      </c>
      <c r="I126" s="123"/>
      <c r="J126" s="6"/>
    </row>
    <row r="127" spans="2:10" x14ac:dyDescent="0.35">
      <c r="B127" s="4"/>
      <c r="C127" s="4" t="s">
        <v>140</v>
      </c>
      <c r="D127" s="178" t="s">
        <v>327</v>
      </c>
      <c r="E127" s="149">
        <v>249</v>
      </c>
      <c r="F127" s="149">
        <v>140</v>
      </c>
      <c r="G127" s="149">
        <v>342</v>
      </c>
      <c r="H127" s="150">
        <v>143</v>
      </c>
      <c r="I127" s="123"/>
      <c r="J127" s="6"/>
    </row>
    <row r="128" spans="2:10" x14ac:dyDescent="0.35">
      <c r="B128" s="4"/>
      <c r="C128" s="4" t="s">
        <v>141</v>
      </c>
      <c r="D128" s="178" t="s">
        <v>327</v>
      </c>
      <c r="E128" s="149">
        <v>4673</v>
      </c>
      <c r="F128" s="149">
        <v>439</v>
      </c>
      <c r="G128" s="149">
        <v>563</v>
      </c>
      <c r="H128" s="150">
        <v>316</v>
      </c>
      <c r="I128" s="123"/>
      <c r="J128" s="6"/>
    </row>
    <row r="129" spans="2:10" x14ac:dyDescent="0.35">
      <c r="B129" s="4"/>
      <c r="C129" s="4" t="s">
        <v>142</v>
      </c>
      <c r="D129" s="178" t="s">
        <v>327</v>
      </c>
      <c r="E129" s="149">
        <v>3135</v>
      </c>
      <c r="F129" s="149">
        <v>630</v>
      </c>
      <c r="G129" s="149">
        <v>1122</v>
      </c>
      <c r="H129" s="150">
        <v>551</v>
      </c>
      <c r="I129" s="123"/>
      <c r="J129" s="6"/>
    </row>
    <row r="130" spans="2:10" x14ac:dyDescent="0.35">
      <c r="B130" s="4"/>
      <c r="C130" s="7" t="s">
        <v>143</v>
      </c>
      <c r="D130" s="180" t="s">
        <v>327</v>
      </c>
      <c r="E130" s="151">
        <v>5797</v>
      </c>
      <c r="F130" s="151">
        <v>755</v>
      </c>
      <c r="G130" s="151">
        <v>1218</v>
      </c>
      <c r="H130" s="152">
        <v>412</v>
      </c>
      <c r="I130" s="123"/>
      <c r="J130" s="6"/>
    </row>
    <row r="131" spans="2:10" x14ac:dyDescent="0.35">
      <c r="B131" s="4"/>
      <c r="D131" s="123"/>
      <c r="E131" s="123"/>
      <c r="F131" s="123"/>
      <c r="G131" s="123"/>
      <c r="H131" s="123"/>
      <c r="I131" s="123"/>
      <c r="J131" s="6"/>
    </row>
    <row r="132" spans="2:10" s="23" customFormat="1" ht="13.15" x14ac:dyDescent="0.4">
      <c r="B132" s="79"/>
      <c r="C132" s="75" t="s">
        <v>326</v>
      </c>
      <c r="D132" s="77"/>
      <c r="E132" s="77"/>
      <c r="F132" s="77"/>
      <c r="G132" s="77"/>
      <c r="H132" s="78"/>
      <c r="I132" s="124"/>
      <c r="J132" s="80"/>
    </row>
    <row r="133" spans="2:10" x14ac:dyDescent="0.35">
      <c r="B133" s="4"/>
      <c r="C133" s="4" t="s">
        <v>214</v>
      </c>
      <c r="D133" s="16"/>
      <c r="E133" s="16"/>
      <c r="F133" s="16"/>
      <c r="G133" s="16"/>
      <c r="H133" s="17"/>
      <c r="I133" s="123"/>
      <c r="J133" s="6"/>
    </row>
    <row r="134" spans="2:10" x14ac:dyDescent="0.35">
      <c r="B134" s="4"/>
      <c r="C134" s="4"/>
      <c r="D134" s="16"/>
      <c r="E134" s="16"/>
      <c r="F134" s="16"/>
      <c r="G134" s="16"/>
      <c r="H134" s="17"/>
      <c r="I134" s="123"/>
      <c r="J134" s="6"/>
    </row>
    <row r="135" spans="2:10" x14ac:dyDescent="0.35">
      <c r="B135" s="4"/>
      <c r="C135" s="4"/>
      <c r="D135" s="16"/>
      <c r="E135" s="16" t="s">
        <v>202</v>
      </c>
      <c r="F135" s="16" t="s">
        <v>203</v>
      </c>
      <c r="G135" s="16" t="s">
        <v>204</v>
      </c>
      <c r="H135" s="17" t="s">
        <v>205</v>
      </c>
      <c r="I135" s="123"/>
      <c r="J135" s="6"/>
    </row>
    <row r="136" spans="2:10" x14ac:dyDescent="0.35">
      <c r="B136" s="4"/>
      <c r="C136" s="4" t="s">
        <v>140</v>
      </c>
      <c r="D136" s="178"/>
      <c r="E136" s="178">
        <v>0.20808768648893436</v>
      </c>
      <c r="F136" s="178">
        <v>0.49800130048714969</v>
      </c>
      <c r="G136" s="178">
        <v>0.65992350963563828</v>
      </c>
      <c r="H136" s="179">
        <v>0.70330671393137045</v>
      </c>
      <c r="I136" s="123"/>
      <c r="J136" s="6"/>
    </row>
    <row r="137" spans="2:10" x14ac:dyDescent="0.35">
      <c r="B137" s="4"/>
      <c r="C137" s="4" t="s">
        <v>141</v>
      </c>
      <c r="D137" s="178"/>
      <c r="E137" s="178">
        <v>0.54864436486837798</v>
      </c>
      <c r="F137" s="178">
        <v>0.24801995501593629</v>
      </c>
      <c r="G137" s="178">
        <v>0.16044390844285111</v>
      </c>
      <c r="H137" s="179">
        <v>0.19399652445997931</v>
      </c>
      <c r="I137" s="123"/>
      <c r="J137" s="6"/>
    </row>
    <row r="138" spans="2:10" x14ac:dyDescent="0.35">
      <c r="B138" s="4"/>
      <c r="C138" s="4" t="s">
        <v>142</v>
      </c>
      <c r="D138" s="178"/>
      <c r="E138" s="178">
        <v>0.13145425727296361</v>
      </c>
      <c r="F138" s="178">
        <v>0.14774386798989458</v>
      </c>
      <c r="G138" s="178">
        <v>0.11121665937006964</v>
      </c>
      <c r="H138" s="179">
        <v>7.6382665867919572E-2</v>
      </c>
      <c r="I138" s="123"/>
      <c r="J138" s="6"/>
    </row>
    <row r="139" spans="2:10" x14ac:dyDescent="0.35">
      <c r="B139" s="4"/>
      <c r="C139" s="7" t="s">
        <v>143</v>
      </c>
      <c r="D139" s="180"/>
      <c r="E139" s="180">
        <v>0.11181369136972401</v>
      </c>
      <c r="F139" s="180">
        <v>0.10623487650701943</v>
      </c>
      <c r="G139" s="180">
        <v>6.8415922551441008E-2</v>
      </c>
      <c r="H139" s="181">
        <v>2.6314095740730657E-2</v>
      </c>
      <c r="I139" s="123"/>
      <c r="J139" s="6"/>
    </row>
    <row r="140" spans="2:10" x14ac:dyDescent="0.35">
      <c r="B140" s="7"/>
      <c r="C140" s="9"/>
      <c r="D140" s="182"/>
      <c r="E140" s="182"/>
      <c r="F140" s="182"/>
      <c r="G140" s="182"/>
      <c r="H140" s="9"/>
      <c r="I140" s="9"/>
      <c r="J140" s="11"/>
    </row>
    <row r="141" spans="2:10" x14ac:dyDescent="0.35">
      <c r="B141" s="5"/>
      <c r="C141" s="5"/>
      <c r="D141" s="14"/>
      <c r="E141" s="14"/>
      <c r="F141" s="14"/>
      <c r="G141" s="14"/>
    </row>
    <row r="142" spans="2:10" x14ac:dyDescent="0.35">
      <c r="B142" s="5"/>
    </row>
    <row r="143" spans="2:10" x14ac:dyDescent="0.35">
      <c r="B143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_x0020_archiveren xmlns="360F4CE5-3E06-4A9C-BF6E-020FB0797123">Nee</Nu_x0020_archiveren>
    <Weg_x0020_na_x0020_afloop_x0020_project xmlns="360F4CE5-3E06-4A9C-BF6E-020FB0797123">false</Weg_x0020_na_x0020_afloop_x0020_project>
    <Deliverable xmlns="360F4CE5-3E06-4A9C-BF6E-020FB0797123">false</Deliverable>
    <lcf76f155ced4ddcb4097134ff3c332f xmlns="360f4ce5-3e06-4a9c-bf6e-020fb0797123">
      <Terms xmlns="http://schemas.microsoft.com/office/infopath/2007/PartnerControls"/>
    </lcf76f155ced4ddcb4097134ff3c332f>
    <TaxCatchAll xmlns="ddc1db71-f0bb-477a-8e48-59d544cbe0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5F588E869F148A9DAAB39183C119C" ma:contentTypeVersion="" ma:contentTypeDescription="Create a new document." ma:contentTypeScope="" ma:versionID="734d5034da8dcb5e9fd0ead9daaa9f2e">
  <xsd:schema xmlns:xsd="http://www.w3.org/2001/XMLSchema" xmlns:xs="http://www.w3.org/2001/XMLSchema" xmlns:p="http://schemas.microsoft.com/office/2006/metadata/properties" xmlns:ns2="360F4CE5-3E06-4A9C-BF6E-020FB0797123" xmlns:ns3="360f4ce5-3e06-4a9c-bf6e-020fb0797123" xmlns:ns4="b568a5d2-6a1d-4b50-b29f-b448bc58868c" xmlns:ns5="ddc1db71-f0bb-477a-8e48-59d544cbe083" targetNamespace="http://schemas.microsoft.com/office/2006/metadata/properties" ma:root="true" ma:fieldsID="c2ad9ccaa88633222bd09751abd16597" ns2:_="" ns3:_="" ns4:_="" ns5:_="">
    <xsd:import namespace="360F4CE5-3E06-4A9C-BF6E-020FB0797123"/>
    <xsd:import namespace="360f4ce5-3e06-4a9c-bf6e-020fb0797123"/>
    <xsd:import namespace="b568a5d2-6a1d-4b50-b29f-b448bc58868c"/>
    <xsd:import namespace="ddc1db71-f0bb-477a-8e48-59d544cbe083"/>
    <xsd:element name="properties">
      <xsd:complexType>
        <xsd:sequence>
          <xsd:element name="documentManagement">
            <xsd:complexType>
              <xsd:all>
                <xsd:element ref="ns2:Weg_x0020_na_x0020_afloop_x0020_project" minOccurs="0"/>
                <xsd:element ref="ns2:Nu_x0020_archiveren" minOccurs="0"/>
                <xsd:element ref="ns2:Deliverabl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5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F4CE5-3E06-4A9C-BF6E-020FB0797123" elementFormDefault="qualified">
    <xsd:import namespace="http://schemas.microsoft.com/office/2006/documentManagement/types"/>
    <xsd:import namespace="http://schemas.microsoft.com/office/infopath/2007/PartnerControls"/>
    <xsd:element name="Weg_x0020_na_x0020_afloop_x0020_project" ma:index="8" nillable="true" ma:displayName="Weg na afloop project" ma:default="0" ma:internalName="Weg_x0020_na_x0020_afloop_x0020_project">
      <xsd:simpleType>
        <xsd:restriction base="dms:Boolean"/>
      </xsd:simpleType>
    </xsd:element>
    <xsd:element name="Nu_x0020_archiveren" ma:index="9" nillable="true" ma:displayName="Nu archiveren" ma:default="Nee" ma:format="Dropdown" ma:internalName="Nu_x0020_archiveren">
      <xsd:simpleType>
        <xsd:restriction base="dms:Choice">
          <xsd:enumeration value="Ja"/>
          <xsd:enumeration value="Nee"/>
        </xsd:restriction>
      </xsd:simpleType>
    </xsd:element>
    <xsd:element name="Deliverable" ma:index="10" nillable="true" ma:displayName="Deliverable" ma:default="0" ma:description="Is het document een eindproduct en/of gedeeld met de klant?" ma:internalName="Delivera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f4ce5-3e06-4a9c-bf6e-020fb0797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c05986-9cd7-42d5-a9cb-5df8d4577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8a5d2-6a1d-4b50-b29f-b448bc588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1db71-f0bb-477a-8e48-59d544cbe08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99a110-3898-41e9-98b4-36b8ad32e5e8}" ma:internalName="TaxCatchAll" ma:showField="CatchAllData" ma:web="ddc1db71-f0bb-477a-8e48-59d544cbe0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BA72F-1CD5-49FC-9DD6-305CA9C02C52}">
  <ds:schemaRefs>
    <ds:schemaRef ds:uri="http://schemas.microsoft.com/office/2006/metadata/properties"/>
    <ds:schemaRef ds:uri="http://schemas.microsoft.com/office/infopath/2007/PartnerControls"/>
    <ds:schemaRef ds:uri="360F4CE5-3E06-4A9C-BF6E-020FB0797123"/>
    <ds:schemaRef ds:uri="360f4ce5-3e06-4a9c-bf6e-020fb0797123"/>
    <ds:schemaRef ds:uri="ddc1db71-f0bb-477a-8e48-59d544cbe083"/>
  </ds:schemaRefs>
</ds:datastoreItem>
</file>

<file path=customXml/itemProps2.xml><?xml version="1.0" encoding="utf-8"?>
<ds:datastoreItem xmlns:ds="http://schemas.openxmlformats.org/officeDocument/2006/customXml" ds:itemID="{4E80042E-128B-498C-B3A1-880754496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F4CE5-3E06-4A9C-BF6E-020FB0797123"/>
    <ds:schemaRef ds:uri="360f4ce5-3e06-4a9c-bf6e-020fb0797123"/>
    <ds:schemaRef ds:uri="b568a5d2-6a1d-4b50-b29f-b448bc58868c"/>
    <ds:schemaRef ds:uri="ddc1db71-f0bb-477a-8e48-59d544cbe0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3A43C0-B7A4-4BBB-8E2B-4E91C6608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R&amp;D mapping</vt:lpstr>
      <vt:lpstr>R&amp;D Execution</vt:lpstr>
      <vt:lpstr>R&amp;D Funding</vt:lpstr>
      <vt:lpstr>VC Funding</vt:lpstr>
      <vt:lpstr>Instruments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Bertrand</dc:creator>
  <cp:lastModifiedBy>Michiel Slag (SiRM)</cp:lastModifiedBy>
  <dcterms:created xsi:type="dcterms:W3CDTF">2021-03-24T14:51:48Z</dcterms:created>
  <dcterms:modified xsi:type="dcterms:W3CDTF">2022-06-22T13:28:56Z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d47060-f1cd-4bbe-8b4c-5fb444b8f676_Enabled">
    <vt:lpwstr>true</vt:lpwstr>
  </property>
  <property fmtid="{D5CDD505-2E9C-101B-9397-08002B2CF9AE}" pid="3" name="MSIP_Label_53d47060-f1cd-4bbe-8b4c-5fb444b8f676_SetDate">
    <vt:lpwstr>2021-08-19T19:50:01Z</vt:lpwstr>
  </property>
  <property fmtid="{D5CDD505-2E9C-101B-9397-08002B2CF9AE}" pid="4" name="MSIP_Label_53d47060-f1cd-4bbe-8b4c-5fb444b8f676_Method">
    <vt:lpwstr>Standard</vt:lpwstr>
  </property>
  <property fmtid="{D5CDD505-2E9C-101B-9397-08002B2CF9AE}" pid="5" name="MSIP_Label_53d47060-f1cd-4bbe-8b4c-5fb444b8f676_Name">
    <vt:lpwstr>L.E.K. Client Confidential</vt:lpwstr>
  </property>
  <property fmtid="{D5CDD505-2E9C-101B-9397-08002B2CF9AE}" pid="6" name="MSIP_Label_53d47060-f1cd-4bbe-8b4c-5fb444b8f676_SiteId">
    <vt:lpwstr>80408883-8646-4762-acfa-44e5da52b8dd</vt:lpwstr>
  </property>
  <property fmtid="{D5CDD505-2E9C-101B-9397-08002B2CF9AE}" pid="7" name="MSIP_Label_53d47060-f1cd-4bbe-8b4c-5fb444b8f676_ActionId">
    <vt:lpwstr>eaa6ad83-3490-4770-aab3-49fd1770400a</vt:lpwstr>
  </property>
  <property fmtid="{D5CDD505-2E9C-101B-9397-08002B2CF9AE}" pid="8" name="MSIP_Label_53d47060-f1cd-4bbe-8b4c-5fb444b8f676_ContentBits">
    <vt:lpwstr>0</vt:lpwstr>
  </property>
  <property fmtid="{D5CDD505-2E9C-101B-9397-08002B2CF9AE}" pid="9" name="ContentTypeId">
    <vt:lpwstr>0x0101007F45F588E869F148A9DAAB39183C119C</vt:lpwstr>
  </property>
  <property fmtid="{D5CDD505-2E9C-101B-9397-08002B2CF9AE}" pid="10" name="MediaServiceImageTags">
    <vt:lpwstr/>
  </property>
</Properties>
</file>