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theme/themeOverride3.xml" ContentType="application/vnd.openxmlformats-officedocument.themeOverride+xml"/>
  <Override PartName="/xl/charts/chart6.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charts/chart7.xml" ContentType="application/vnd.openxmlformats-officedocument.drawingml.chart+xml"/>
  <Override PartName="/xl/theme/themeOverride5.xml" ContentType="application/vnd.openxmlformats-officedocument.themeOverride+xml"/>
  <Override PartName="/xl/charts/chart8.xml" ContentType="application/vnd.openxmlformats-officedocument.drawingml.chart+xml"/>
  <Override PartName="/xl/theme/themeOverride6.xml" ContentType="application/vnd.openxmlformats-officedocument.themeOverride+xml"/>
  <Override PartName="/xl/charts/chart9.xml" ContentType="application/vnd.openxmlformats-officedocument.drawingml.chart+xml"/>
  <Override PartName="/xl/theme/themeOverride7.xml" ContentType="application/vnd.openxmlformats-officedocument.themeOverride+xml"/>
  <Override PartName="/xl/charts/chart10.xml" ContentType="application/vnd.openxmlformats-officedocument.drawingml.chart+xml"/>
  <Override PartName="/xl/theme/themeOverride8.xml" ContentType="application/vnd.openxmlformats-officedocument.themeOverride+xml"/>
  <Override PartName="/xl/charts/chart11.xml" ContentType="application/vnd.openxmlformats-officedocument.drawingml.chart+xml"/>
  <Override PartName="/xl/theme/themeOverride9.xml" ContentType="application/vnd.openxmlformats-officedocument.themeOverrid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sirm-my.sharepoint.com/personal/saskia_vandererf_sirm_nl/Documents/Bureaublad/"/>
    </mc:Choice>
  </mc:AlternateContent>
  <xr:revisionPtr revIDLastSave="0" documentId="8_{967249E7-6764-4216-A625-19D78083E65A}" xr6:coauthVersionLast="47" xr6:coauthVersionMax="47" xr10:uidLastSave="{00000000-0000-0000-0000-000000000000}"/>
  <bookViews>
    <workbookView xWindow="-110" yWindow="-110" windowWidth="22780" windowHeight="14540" tabRatio="831" xr2:uid="{B65F9B81-1ED5-430A-8890-FC2E95F3EDB0}"/>
  </bookViews>
  <sheets>
    <sheet name="Modeltoelichting" sheetId="47" r:id="rId1"/>
    <sheet name="Regiokenmerken" sheetId="51" r:id="rId2"/>
    <sheet name="Uitkomsten verdeling" sheetId="42" r:id="rId3"/>
    <sheet name="Invoertabblad - regiokenmerken" sheetId="53" r:id="rId4"/>
    <sheet name="Invoertabblad - geleverde zorg" sheetId="7" r:id="rId5"/>
    <sheet name="Invoertabblad - verdeling" sheetId="45" r:id="rId6"/>
    <sheet name="Berekening van de verdeling" sheetId="29" r:id="rId7"/>
  </sheets>
  <definedNames>
    <definedName name="_xlnm._FilterDatabase" localSheetId="3" hidden="1">'Invoertabblad - regiokenmerken'!$B$6:$E$6</definedName>
    <definedName name="_xlnm._FilterDatabase" localSheetId="5" hidden="1">'Invoertabblad - verdeling'!$H$12:$N$137</definedName>
    <definedName name="_xlnm._FilterDatabase" localSheetId="1" hidden="1">Regiokenmerken!$E$36:$I$41</definedName>
    <definedName name="_xlnm._FilterDatabase" localSheetId="2" hidden="1">'Uitkomsten verdeling'!$G$37:$H$37</definedName>
    <definedName name="Aantal_integrale_geboortezorg_prestaties_Begeleiding_eindigend__16_wkn_zwangerschap_incl._nazorg">'Invoertabblad - geleverde zorg'!$E$43</definedName>
    <definedName name="Aantal_integrale_geboortezorg_prestaties_Geboortezorg_nataal">'Invoertabblad - geleverde zorg'!$E$46</definedName>
    <definedName name="Aantal_integrale_geboortezorg_prestaties_Geboortezorg_nataal_complex">'Invoertabblad - geleverde zorg'!$E$48</definedName>
    <definedName name="Aantal_integrale_geboortezorg_prestaties_Geboortezorg_nataal_intramuraal_op_eigen_verzoek">'Invoertabblad - geleverde zorg'!$E$47</definedName>
    <definedName name="Aantal_integrale_geboortezorg_prestaties_Geboortezorg_postnataal">'Invoertabblad - geleverde zorg'!$E$49</definedName>
    <definedName name="Aantal_integrale_geboortezorg_prestaties_Geboortezorg_postnataal_complex">'Invoertabblad - geleverde zorg'!$E$50</definedName>
    <definedName name="Aantal_integrale_geboortezorg_prestaties_Geboortezorg_prenataal">'Invoertabblad - geleverde zorg'!$E$44</definedName>
    <definedName name="Aantal_integrale_geboortezorg_prestaties_Geboortezorg_prenataal_complex">'Invoertabblad - geleverde zorg'!$E$45</definedName>
    <definedName name="Aantal_integrale_geboortezorg_prestaties_Kraamzorg_postnataal_per_uur">'Invoertabblad - geleverde zorg'!$E$51</definedName>
    <definedName name="Aantal_vrouwen_Aantal_zwangeren_met_tenminste_22_weken_zwangerschapsduur">'Invoertabblad - geleverde zorg'!$E$40</definedName>
    <definedName name="Eerstelijns_verloskundeBegeleiding_eindigend__16_wkn_zwangerschap_incl._nazorg">'Invoertabblad - verdeling'!$C$14</definedName>
    <definedName name="Eerstelijns_verloskundeGeboortezorg_nataal">'Invoertabblad - verdeling'!$C$17</definedName>
    <definedName name="Eerstelijns_verloskundeGeboortezorg_nataal_complex">'Invoertabblad - verdeling'!$C$19</definedName>
    <definedName name="Eerstelijns_verloskundeGeboortezorg_nataal_intramuraal_op_eigen_verzoek">'Invoertabblad - verdeling'!$C$18</definedName>
    <definedName name="Eerstelijns_verloskundeGeboortezorg_postnataal">'Invoertabblad - verdeling'!$C$20</definedName>
    <definedName name="Eerstelijns_verloskundeGeboortezorg_postnataal_complex">'Invoertabblad - verdeling'!$C$21</definedName>
    <definedName name="Eerstelijns_verloskundeGeboortezorg_prenataal">'Invoertabblad - verdeling'!$C$15</definedName>
    <definedName name="Eerstelijns_verloskundeGeboortezorg_prenataal_complex">'Invoertabblad - verdeling'!$C$16</definedName>
    <definedName name="Eerstelijns_verloskundeKraamzorg_postnataal_per_uur">'Invoertabblad - verdeling'!$C$22</definedName>
    <definedName name="Gecontracteerd_tarief_per_integrale_geboortezorg_prestatie_Begeleiding_eindigend__16_wkn_zwangerschap_incl._nazorg">'Invoertabblad - geleverde zorg'!$E$54</definedName>
    <definedName name="Gecontracteerd_tarief_per_integrale_geboortezorg_prestatie_Geboortezorg_nataal">'Invoertabblad - geleverde zorg'!$E$57</definedName>
    <definedName name="Gecontracteerd_tarief_per_integrale_geboortezorg_prestatie_Geboortezorg_nataal_complex">'Invoertabblad - geleverde zorg'!$E$59</definedName>
    <definedName name="Gecontracteerd_tarief_per_integrale_geboortezorg_prestatie_Geboortezorg_nataal_intramuraal_op_eigen_verzoek">'Invoertabblad - geleverde zorg'!$E$58</definedName>
    <definedName name="Gecontracteerd_tarief_per_integrale_geboortezorg_prestatie_Geboortezorg_postnataal">'Invoertabblad - geleverde zorg'!$E$60</definedName>
    <definedName name="Gecontracteerd_tarief_per_integrale_geboortezorg_prestatie_Geboortezorg_postnataal_complex">'Invoertabblad - geleverde zorg'!$E$61</definedName>
    <definedName name="Gecontracteerd_tarief_per_integrale_geboortezorg_prestatie_Geboortezorg_prenataal">'Invoertabblad - geleverde zorg'!$E$55</definedName>
    <definedName name="Gecontracteerd_tarief_per_integrale_geboortezorg_prestatie_Geboortezorg_prenataal_complex">'Invoertabblad - geleverde zorg'!$E$56</definedName>
    <definedName name="Gecontracteerd_tarief_per_integrale_geboortezorg_prestatie_Kraamzorg_postnataal_per_uur">'Invoertabblad - geleverde zorg'!$E$62</definedName>
    <definedName name="JaarModel">'Invoertabblad - geleverde zorg'!$E$8</definedName>
    <definedName name="KraamzorgBegeleiding_eindigend__16_wkn_zwangerschap_incl._nazorg">'Invoertabblad - verdeling'!$D$14</definedName>
    <definedName name="KraamzorgGeboortezorg_nataal">'Invoertabblad - verdeling'!$D$17</definedName>
    <definedName name="KraamzorgGeboortezorg_nataal_complex">'Invoertabblad - verdeling'!$D$19</definedName>
    <definedName name="KraamzorgGeboortezorg_nataal_intramuraal_op_eigen_verzoek">'Invoertabblad - verdeling'!$D$18</definedName>
    <definedName name="KraamzorgGeboortezorg_postnataal">'Invoertabblad - verdeling'!$D$20</definedName>
    <definedName name="KraamzorgGeboortezorg_postnataal_complex">'Invoertabblad - verdeling'!$D$21</definedName>
    <definedName name="KraamzorgGeboortezorg_prenataal">'Invoertabblad - verdeling'!$D$15</definedName>
    <definedName name="KraamzorgGeboortezorg_prenataal_complex">'Invoertabblad - verdeling'!$D$16</definedName>
    <definedName name="KraamzorgKraamzorg_postnataal_per_uur">'Invoertabblad - verdeling'!$D$22</definedName>
    <definedName name="Mogelijke_activiteiten_buiten_IGO___zorggroep___…___echscopie_Algemene_termijnecho_om_de_zwangerschapsduur_te_bepalen">'Invoertabblad - geleverde zorg'!$E$70</definedName>
    <definedName name="Mogelijke_activiteiten_buiten_IGO___zorggroep___…___echscopie_Kosten___Nt_meting___bij_eenlingen_en_bij_het_eerste_kind_van_een_meerlingenzwangerschap">'Invoertabblad - geleverde zorg'!$E$79</definedName>
    <definedName name="Mogelijke_activiteiten_buiten_IGO___zorggroep___…___echscopie_Kosten_Algemene_termijnecho_om_de_zwangerschapsduur_te_bepalen">'Invoertabblad - geleverde zorg'!$E$71</definedName>
    <definedName name="Mogelijke_activiteiten_buiten_IGO___zorggroep___…___echscopie_Kosten_Nt_meting___bij_elk_volgend_kind_van_een_meerlingenzwangerschap">'Invoertabblad - geleverde zorg'!$E$81</definedName>
    <definedName name="Mogelijke_activiteiten_buiten_IGO___zorggroep___…___echscopie_Kosten_Prenatale_screening_TTSEO___bij_eenlingen_en_bij_het_eerste_kind_van_een_meerlingenzwangerschap">'Invoertabblad - geleverde zorg'!$E$75</definedName>
    <definedName name="Mogelijke_activiteiten_buiten_IGO___zorggroep___…___echscopie_Kosten_Prenatale_screening_TTSEO___bij_elk_volgend_kind_van_een_meerlingenzwangerschap">'Invoertabblad - geleverde zorg'!$E$77</definedName>
    <definedName name="Mogelijke_activiteiten_buiten_IGO___zorggroep___…___echscopie_Kosten_Specifieke_diagnose_echo">'Invoertabblad - geleverde zorg'!$E$73</definedName>
    <definedName name="Mogelijke_activiteiten_buiten_IGO___zorggroep___…___echscopie_Nt_meting___bij_eenlingen_en_bij_het_eerste_kind_van_een_meerlingenzwangerschap">'Invoertabblad - geleverde zorg'!$E$78</definedName>
    <definedName name="Mogelijke_activiteiten_buiten_IGO___zorggroep___…___echscopie_Nt_meting___bij_elk_volgend_kind_van_een_meerlingenzwangerschap">'Invoertabblad - geleverde zorg'!$E$80</definedName>
    <definedName name="Mogelijke_activiteiten_buiten_IGO___zorggroep___…___echscopie_Prenatale_screening_TTSEO___bij_eenlingen_en_bij_het_eerste_kind_van_een_meerlingenzwangerschap">'Invoertabblad - geleverde zorg'!$E$74</definedName>
    <definedName name="Mogelijke_activiteiten_buiten_IGO___zorggroep___…___echscopie_Prenatale_screening_TTSEO___bij_elk_volgend_kind_van_een_meerlingenzwangerschap">'Invoertabblad - geleverde zorg'!$E$76</definedName>
    <definedName name="Mogelijke_activiteiten_buiten_IGO___zorggroep___…___echscopie_Specifieke_diagnose_echo">'Invoertabblad - geleverde zorg'!$E$72</definedName>
    <definedName name="Mogelijke_activiteiten_buiten_IGO___zorggroep___…___geboortezorgcentrum_Geboortecentrum">'Invoertabblad - geleverde zorg'!$E$84</definedName>
    <definedName name="Mogelijke_activiteiten_buiten_IGO___zorggroep___…___geboortezorgcentrum_Geboortecentrum_met_beschikbaarheid_lachgas">'Invoertabblad - geleverde zorg'!$E$86</definedName>
    <definedName name="Mogelijke_activiteiten_buiten_IGO___zorggroep___…___geboortezorgcentrum_Kosten_gebruik_geboortecentrum">'Invoertabblad - geleverde zorg'!$E$85</definedName>
    <definedName name="Mogelijke_activiteiten_buiten_IGO___zorggroep___…___geboortezorgcentrum_Kosten_gebruik_geboortecentrum_met_beschikbaarheid_lachgas">'Invoertabblad - geleverde zorg'!$E$87</definedName>
    <definedName name="NaamKraamzorgorganisatie_1">'Invoertabblad - geleverde zorg'!$E$33</definedName>
    <definedName name="NaamKraamzorgorganisatie_2">'Invoertabblad - geleverde zorg'!$E$34</definedName>
    <definedName name="NaamKraamzorgorganisatie_3">'Invoertabblad - geleverde zorg'!$E$35</definedName>
    <definedName name="NaamKraamzorgorganisatie_4">'Invoertabblad - geleverde zorg'!$E$36</definedName>
    <definedName name="NaamKraamzorgorganisatie_5">'Invoertabblad - geleverde zorg'!$E$37</definedName>
    <definedName name="NaamPraktijk_1">'Invoertabblad - geleverde zorg'!$E$16</definedName>
    <definedName name="NaamPraktijk_10">'Invoertabblad - geleverde zorg'!$E$25</definedName>
    <definedName name="NaamPraktijk_11">'Invoertabblad - geleverde zorg'!$E$26</definedName>
    <definedName name="NaamPraktijk_12">'Invoertabblad - geleverde zorg'!$E$27</definedName>
    <definedName name="NaamPraktijk_13">'Invoertabblad - geleverde zorg'!$E$28</definedName>
    <definedName name="NaamPraktijk_14">'Invoertabblad - geleverde zorg'!$E$29</definedName>
    <definedName name="NaamPraktijk_15">'Invoertabblad - geleverde zorg'!$E$30</definedName>
    <definedName name="NaamPraktijk_2">'Invoertabblad - geleverde zorg'!$E$17</definedName>
    <definedName name="NaamPraktijk_3">'Invoertabblad - geleverde zorg'!$E$18</definedName>
    <definedName name="NaamPraktijk_4">'Invoertabblad - geleverde zorg'!$E$19</definedName>
    <definedName name="NaamPraktijk_5">'Invoertabblad - geleverde zorg'!$E$20</definedName>
    <definedName name="NaamPraktijk_6">'Invoertabblad - geleverde zorg'!$E$21</definedName>
    <definedName name="NaamPraktijk_7">'Invoertabblad - geleverde zorg'!$E$22</definedName>
    <definedName name="NaamPraktijk_8">'Invoertabblad - geleverde zorg'!$E$23</definedName>
    <definedName name="NaamPraktijk_9">'Invoertabblad - geleverde zorg'!$E$24</definedName>
    <definedName name="NaamZiekenhuis_1">'Invoertabblad - geleverde zorg'!$E$11</definedName>
    <definedName name="NaamZiekenhuis_2">'Invoertabblad - geleverde zorg'!$E$12</definedName>
    <definedName name="NaamZiekenhuis_3">'Invoertabblad - geleverde zorg'!$E$13</definedName>
    <definedName name="Overheadkosten_van_de_IGO___zorggroep___…_Beheerskosten_IGO___zorggroep___…">'Invoertabblad - geleverde zorg'!$E$65</definedName>
    <definedName name="Overheadkosten_van_de_IGO___zorggroep___…_Innovatie__en_kwaliteitsprojecten">'Invoertabblad - geleverde zorg'!$E$66</definedName>
    <definedName name="Overheadkosten_van_de_IGO___zorggroep___…_Overige_kosten">'Invoertabblad - geleverde zorg'!$E$67</definedName>
    <definedName name="ZiekenhuisBegeleiding_eindigend__16_wkn_zwangerschap_incl._nazorg">'Invoertabblad - verdeling'!$E$14</definedName>
    <definedName name="ZiekenhuisGeboortezorg_nataal">'Invoertabblad - verdeling'!$E$17</definedName>
    <definedName name="ZiekenhuisGeboortezorg_nataal_complex">'Invoertabblad - verdeling'!$E$19</definedName>
    <definedName name="ZiekenhuisGeboortezorg_nataal_intramuraal_op_eigen_verzoek">'Invoertabblad - verdeling'!$E$18</definedName>
    <definedName name="ZiekenhuisGeboortezorg_postnataal">'Invoertabblad - verdeling'!$E$20</definedName>
    <definedName name="ZiekenhuisGeboortezorg_postnataal_complex">'Invoertabblad - verdeling'!$E$21</definedName>
    <definedName name="ZiekenhuisGeboortezorg_prenataal">'Invoertabblad - verdeling'!$E$15</definedName>
    <definedName name="ZiekenhuisGeboortezorg_prenataal_complex">'Invoertabblad - verdeling'!$E$16</definedName>
    <definedName name="ZiekenhuisKraamzorg_postnataal_per_uur">'Invoertabblad - verdeling'!$E$22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9" i="29" l="1"/>
  <c r="O29" i="29"/>
  <c r="P29" i="29"/>
  <c r="Q29" i="29"/>
  <c r="R29" i="29"/>
  <c r="S29" i="29"/>
  <c r="T29" i="29"/>
  <c r="U29" i="29"/>
  <c r="N30" i="29"/>
  <c r="O30" i="29"/>
  <c r="P30" i="29"/>
  <c r="Q30" i="29"/>
  <c r="R30" i="29"/>
  <c r="S30" i="29"/>
  <c r="T30" i="29"/>
  <c r="U30" i="29"/>
  <c r="N31" i="29"/>
  <c r="O31" i="29"/>
  <c r="P31" i="29"/>
  <c r="Q31" i="29"/>
  <c r="R31" i="29"/>
  <c r="S31" i="29"/>
  <c r="T31" i="29"/>
  <c r="U31" i="29"/>
  <c r="N32" i="29"/>
  <c r="O32" i="29"/>
  <c r="P32" i="29"/>
  <c r="Q32" i="29"/>
  <c r="R32" i="29"/>
  <c r="S32" i="29"/>
  <c r="T32" i="29"/>
  <c r="U32" i="29"/>
  <c r="N33" i="29"/>
  <c r="O33" i="29"/>
  <c r="P33" i="29"/>
  <c r="Q33" i="29"/>
  <c r="R33" i="29"/>
  <c r="S33" i="29"/>
  <c r="T33" i="29"/>
  <c r="U33" i="29"/>
  <c r="M30" i="29"/>
  <c r="M31" i="29"/>
  <c r="M32" i="29"/>
  <c r="M33" i="29"/>
  <c r="N12" i="29"/>
  <c r="O12" i="29"/>
  <c r="P12" i="29"/>
  <c r="Q12" i="29"/>
  <c r="R12" i="29"/>
  <c r="S12" i="29"/>
  <c r="T12" i="29"/>
  <c r="U12" i="29"/>
  <c r="N13" i="29"/>
  <c r="O13" i="29"/>
  <c r="P13" i="29"/>
  <c r="Q13" i="29"/>
  <c r="R13" i="29"/>
  <c r="S13" i="29"/>
  <c r="T13" i="29"/>
  <c r="U13" i="29"/>
  <c r="N14" i="29"/>
  <c r="O14" i="29"/>
  <c r="P14" i="29"/>
  <c r="Q14" i="29"/>
  <c r="R14" i="29"/>
  <c r="S14" i="29"/>
  <c r="T14" i="29"/>
  <c r="U14" i="29"/>
  <c r="N15" i="29"/>
  <c r="O15" i="29"/>
  <c r="P15" i="29"/>
  <c r="Q15" i="29"/>
  <c r="R15" i="29"/>
  <c r="S15" i="29"/>
  <c r="T15" i="29"/>
  <c r="U15" i="29"/>
  <c r="N16" i="29"/>
  <c r="O16" i="29"/>
  <c r="P16" i="29"/>
  <c r="Q16" i="29"/>
  <c r="R16" i="29"/>
  <c r="S16" i="29"/>
  <c r="T16" i="29"/>
  <c r="U16" i="29"/>
  <c r="N17" i="29"/>
  <c r="O17" i="29"/>
  <c r="P17" i="29"/>
  <c r="Q17" i="29"/>
  <c r="R17" i="29"/>
  <c r="S17" i="29"/>
  <c r="T17" i="29"/>
  <c r="U17" i="29"/>
  <c r="N18" i="29"/>
  <c r="O18" i="29"/>
  <c r="P18" i="29"/>
  <c r="Q18" i="29"/>
  <c r="R18" i="29"/>
  <c r="S18" i="29"/>
  <c r="T18" i="29"/>
  <c r="U18" i="29"/>
  <c r="N19" i="29"/>
  <c r="O19" i="29"/>
  <c r="P19" i="29"/>
  <c r="Q19" i="29"/>
  <c r="R19" i="29"/>
  <c r="S19" i="29"/>
  <c r="T19" i="29"/>
  <c r="U19" i="29"/>
  <c r="N20" i="29"/>
  <c r="O20" i="29"/>
  <c r="P20" i="29"/>
  <c r="Q20" i="29"/>
  <c r="R20" i="29"/>
  <c r="S20" i="29"/>
  <c r="T20" i="29"/>
  <c r="U20" i="29"/>
  <c r="N21" i="29"/>
  <c r="O21" i="29"/>
  <c r="P21" i="29"/>
  <c r="Q21" i="29"/>
  <c r="R21" i="29"/>
  <c r="S21" i="29"/>
  <c r="T21" i="29"/>
  <c r="U21" i="29"/>
  <c r="N22" i="29"/>
  <c r="O22" i="29"/>
  <c r="P22" i="29"/>
  <c r="Q22" i="29"/>
  <c r="R22" i="29"/>
  <c r="S22" i="29"/>
  <c r="T22" i="29"/>
  <c r="U22" i="29"/>
  <c r="N23" i="29"/>
  <c r="O23" i="29"/>
  <c r="P23" i="29"/>
  <c r="Q23" i="29"/>
  <c r="R23" i="29"/>
  <c r="S23" i="29"/>
  <c r="T23" i="29"/>
  <c r="U23" i="29"/>
  <c r="N24" i="29"/>
  <c r="O24" i="29"/>
  <c r="P24" i="29"/>
  <c r="Q24" i="29"/>
  <c r="R24" i="29"/>
  <c r="S24" i="29"/>
  <c r="T24" i="29"/>
  <c r="U24" i="29"/>
  <c r="N25" i="29"/>
  <c r="O25" i="29"/>
  <c r="P25" i="29"/>
  <c r="Q25" i="29"/>
  <c r="R25" i="29"/>
  <c r="S25" i="29"/>
  <c r="T25" i="29"/>
  <c r="U25" i="29"/>
  <c r="N26" i="29"/>
  <c r="O26" i="29"/>
  <c r="P26" i="29"/>
  <c r="Q26" i="29"/>
  <c r="R26" i="29"/>
  <c r="S26" i="29"/>
  <c r="T26" i="29"/>
  <c r="U26" i="29"/>
  <c r="M13" i="29"/>
  <c r="M14" i="29"/>
  <c r="M15" i="29"/>
  <c r="M16" i="29"/>
  <c r="M17" i="29"/>
  <c r="M18" i="29"/>
  <c r="M19" i="29"/>
  <c r="M20" i="29"/>
  <c r="M21" i="29"/>
  <c r="M22" i="29"/>
  <c r="M23" i="29"/>
  <c r="M24" i="29"/>
  <c r="M25" i="29"/>
  <c r="M26" i="29"/>
  <c r="N7" i="29"/>
  <c r="O7" i="29"/>
  <c r="P7" i="29"/>
  <c r="Q7" i="29"/>
  <c r="R7" i="29"/>
  <c r="S7" i="29"/>
  <c r="T7" i="29"/>
  <c r="U7" i="29"/>
  <c r="N8" i="29"/>
  <c r="O8" i="29"/>
  <c r="P8" i="29"/>
  <c r="Q8" i="29"/>
  <c r="R8" i="29"/>
  <c r="S8" i="29"/>
  <c r="T8" i="29"/>
  <c r="U8" i="29"/>
  <c r="N9" i="29"/>
  <c r="O9" i="29"/>
  <c r="P9" i="29"/>
  <c r="Q9" i="29"/>
  <c r="R9" i="29"/>
  <c r="S9" i="29"/>
  <c r="T9" i="29"/>
  <c r="U9" i="29"/>
  <c r="C21" i="29"/>
  <c r="L66" i="51"/>
  <c r="B21" i="47"/>
  <c r="B27" i="47"/>
  <c r="B18" i="47"/>
  <c r="B15" i="47"/>
  <c r="B12" i="47"/>
  <c r="D2" i="29" l="1"/>
  <c r="C2" i="45"/>
  <c r="C2" i="7"/>
  <c r="D2" i="53"/>
  <c r="C2" i="42"/>
  <c r="D2" i="51"/>
  <c r="H44" i="42" l="1"/>
  <c r="H43" i="42"/>
  <c r="H42" i="42"/>
  <c r="D40" i="42"/>
  <c r="C46" i="42"/>
  <c r="D46" i="42" s="1"/>
  <c r="C45" i="42"/>
  <c r="D45" i="42" s="1"/>
  <c r="C44" i="42"/>
  <c r="D44" i="42" s="1"/>
  <c r="C43" i="42"/>
  <c r="D43" i="42" s="1"/>
  <c r="C42" i="42"/>
  <c r="D42" i="42" s="1"/>
  <c r="C41" i="42"/>
  <c r="D41" i="42" s="1"/>
  <c r="C40" i="42"/>
  <c r="C39" i="42"/>
  <c r="D39" i="42" s="1"/>
  <c r="C38" i="42"/>
  <c r="D38" i="42" s="1"/>
  <c r="D31" i="29" l="1"/>
  <c r="C31" i="29"/>
  <c r="D30" i="29"/>
  <c r="C30" i="29"/>
  <c r="D25" i="29"/>
  <c r="C25" i="29"/>
  <c r="D24" i="29"/>
  <c r="C24" i="29"/>
  <c r="D23" i="29"/>
  <c r="D22" i="29"/>
  <c r="C23" i="29"/>
  <c r="C22" i="29"/>
  <c r="D21" i="29"/>
  <c r="D20" i="29"/>
  <c r="C20" i="29"/>
  <c r="I16" i="29"/>
  <c r="G16" i="29"/>
  <c r="F16" i="29"/>
  <c r="D15" i="29"/>
  <c r="D14" i="29"/>
  <c r="D13" i="29"/>
  <c r="D12" i="29"/>
  <c r="D11" i="29"/>
  <c r="D10" i="29"/>
  <c r="D9" i="29"/>
  <c r="D8" i="29"/>
  <c r="D7" i="29"/>
  <c r="C15" i="29"/>
  <c r="C14" i="29"/>
  <c r="C13" i="29"/>
  <c r="C12" i="29"/>
  <c r="C11" i="29"/>
  <c r="C10" i="29"/>
  <c r="C9" i="29"/>
  <c r="C8" i="29"/>
  <c r="C7" i="29"/>
  <c r="I13" i="7"/>
  <c r="N39" i="42"/>
  <c r="N40" i="42"/>
  <c r="L16" i="29"/>
  <c r="L17" i="29"/>
  <c r="W18" i="29"/>
  <c r="I21" i="7"/>
  <c r="N47" i="42"/>
  <c r="N48" i="42"/>
  <c r="I25" i="7"/>
  <c r="L25" i="29"/>
  <c r="W26" i="29"/>
  <c r="AH30" i="29"/>
  <c r="W31" i="29"/>
  <c r="W32" i="29"/>
  <c r="AH33" i="29"/>
  <c r="L33" i="29"/>
  <c r="L30" i="29"/>
  <c r="L29" i="29"/>
  <c r="W33" i="29"/>
  <c r="W30" i="29"/>
  <c r="W29" i="29"/>
  <c r="AH29" i="29"/>
  <c r="I34" i="7"/>
  <c r="I30" i="7"/>
  <c r="R42" i="42"/>
  <c r="R41" i="42"/>
  <c r="R38" i="42"/>
  <c r="AH9" i="29"/>
  <c r="AH8" i="29"/>
  <c r="AH7" i="29"/>
  <c r="W9" i="29"/>
  <c r="W8" i="29"/>
  <c r="W7" i="29"/>
  <c r="L9" i="29"/>
  <c r="L8" i="29"/>
  <c r="L7" i="29"/>
  <c r="I10" i="7"/>
  <c r="I9" i="7"/>
  <c r="I8" i="7"/>
  <c r="J40" i="42"/>
  <c r="J39" i="42"/>
  <c r="J38" i="42"/>
  <c r="AH23" i="29"/>
  <c r="AH21" i="29"/>
  <c r="AH19" i="29"/>
  <c r="AH16" i="29"/>
  <c r="AH15" i="29"/>
  <c r="AH13" i="29"/>
  <c r="W24" i="29"/>
  <c r="W23" i="29"/>
  <c r="W19" i="29"/>
  <c r="W16" i="29"/>
  <c r="W15" i="29"/>
  <c r="W14" i="29"/>
  <c r="L26" i="29"/>
  <c r="L23" i="29"/>
  <c r="L21" i="29"/>
  <c r="L20" i="29"/>
  <c r="L19" i="29"/>
  <c r="L15" i="29"/>
  <c r="L13" i="29"/>
  <c r="L12" i="29"/>
  <c r="I27" i="7"/>
  <c r="I26" i="7"/>
  <c r="I24" i="7"/>
  <c r="I20" i="7"/>
  <c r="I19" i="7"/>
  <c r="I18" i="7"/>
  <c r="I17" i="7"/>
  <c r="I16" i="7"/>
  <c r="N51" i="42"/>
  <c r="N49" i="42"/>
  <c r="N46" i="42"/>
  <c r="N45" i="42"/>
  <c r="N43" i="42"/>
  <c r="N42" i="42"/>
  <c r="N41" i="42"/>
  <c r="U38" i="51"/>
  <c r="U39" i="51"/>
  <c r="U40" i="51"/>
  <c r="U41" i="51"/>
  <c r="U42" i="51"/>
  <c r="U43" i="51"/>
  <c r="U44" i="51"/>
  <c r="U45" i="51"/>
  <c r="U46" i="51"/>
  <c r="U47" i="51"/>
  <c r="U48" i="51"/>
  <c r="U49" i="51"/>
  <c r="U50" i="51"/>
  <c r="U51" i="51"/>
  <c r="U52" i="51"/>
  <c r="U53" i="51"/>
  <c r="U54" i="51"/>
  <c r="U55" i="51"/>
  <c r="U37" i="51"/>
  <c r="W20" i="29" l="1"/>
  <c r="AH20" i="29"/>
  <c r="L24" i="29"/>
  <c r="I31" i="7"/>
  <c r="W12" i="29"/>
  <c r="AH12" i="29"/>
  <c r="AH24" i="29"/>
  <c r="N38" i="42"/>
  <c r="L18" i="29"/>
  <c r="R39" i="42"/>
  <c r="N50" i="42"/>
  <c r="R40" i="42"/>
  <c r="N44" i="42"/>
  <c r="N52" i="42"/>
  <c r="W13" i="29"/>
  <c r="W21" i="29"/>
  <c r="AH14" i="29"/>
  <c r="AH22" i="29"/>
  <c r="AH31" i="29"/>
  <c r="AH32" i="29"/>
  <c r="I14" i="7"/>
  <c r="I22" i="7"/>
  <c r="L14" i="29"/>
  <c r="L22" i="29"/>
  <c r="L31" i="29"/>
  <c r="I15" i="7"/>
  <c r="I23" i="7"/>
  <c r="AH17" i="29"/>
  <c r="AH25" i="29"/>
  <c r="I32" i="7"/>
  <c r="L32" i="29"/>
  <c r="W22" i="29"/>
  <c r="W17" i="29"/>
  <c r="W25" i="29"/>
  <c r="AH18" i="29"/>
  <c r="AH26" i="29"/>
  <c r="I33" i="7"/>
  <c r="N112" i="45"/>
  <c r="N69" i="45"/>
  <c r="N59" i="45"/>
  <c r="N65" i="45"/>
  <c r="N64" i="45"/>
  <c r="N43" i="45"/>
  <c r="N33" i="45"/>
  <c r="N36" i="45"/>
  <c r="N39" i="45"/>
  <c r="N42" i="45"/>
  <c r="N31" i="45"/>
  <c r="N34" i="45"/>
  <c r="N37" i="45"/>
  <c r="N40" i="45"/>
  <c r="N32" i="45"/>
  <c r="N35" i="45"/>
  <c r="N38" i="45"/>
  <c r="N41" i="45"/>
  <c r="N66" i="45"/>
  <c r="N57" i="45"/>
  <c r="N67" i="45"/>
  <c r="N63" i="45"/>
  <c r="N60" i="45"/>
  <c r="N53" i="45"/>
  <c r="N55" i="45"/>
  <c r="N54" i="45"/>
  <c r="N51" i="45"/>
  <c r="N52" i="45"/>
  <c r="N50" i="45"/>
  <c r="N26" i="45"/>
  <c r="N29" i="45"/>
  <c r="N25" i="45"/>
  <c r="N28" i="45"/>
  <c r="N27" i="45"/>
  <c r="N30" i="45"/>
  <c r="N46" i="45"/>
  <c r="N45" i="45"/>
  <c r="N48" i="45"/>
  <c r="N49" i="45"/>
  <c r="N47" i="45"/>
  <c r="N68" i="45"/>
  <c r="N44" i="45"/>
  <c r="N56" i="45"/>
  <c r="N61" i="45"/>
  <c r="N62" i="45"/>
  <c r="N20" i="45"/>
  <c r="N23" i="45"/>
  <c r="N21" i="45"/>
  <c r="N24" i="45"/>
  <c r="N19" i="45"/>
  <c r="N22" i="45"/>
  <c r="N15" i="45"/>
  <c r="N13" i="45"/>
  <c r="N14" i="45"/>
  <c r="N18" i="45"/>
  <c r="N16" i="45"/>
  <c r="N17" i="45"/>
  <c r="N89" i="45"/>
  <c r="N86" i="45"/>
  <c r="N87" i="45"/>
  <c r="N80" i="45"/>
  <c r="N72" i="45"/>
  <c r="N81" i="45"/>
  <c r="N73" i="45"/>
  <c r="N83" i="45"/>
  <c r="N75" i="45"/>
  <c r="N88" i="45"/>
  <c r="N90" i="45"/>
  <c r="N77" i="45"/>
  <c r="N78" i="45"/>
  <c r="N82" i="45"/>
  <c r="N74" i="45"/>
  <c r="N85" i="45"/>
  <c r="N79" i="45"/>
  <c r="N71" i="45"/>
  <c r="N93" i="45"/>
  <c r="N91" i="45"/>
  <c r="N94" i="45"/>
  <c r="N92" i="45"/>
  <c r="N84" i="45"/>
  <c r="N76" i="45"/>
  <c r="N70" i="45"/>
  <c r="N125" i="45"/>
  <c r="N122" i="45"/>
  <c r="N127" i="45"/>
  <c r="N130" i="45"/>
  <c r="N128" i="45"/>
  <c r="N136" i="45"/>
  <c r="N131" i="45"/>
  <c r="N129" i="45"/>
  <c r="N132" i="45"/>
  <c r="N134" i="45"/>
  <c r="N133" i="45"/>
  <c r="N137" i="45"/>
  <c r="N113" i="45"/>
  <c r="N110" i="45"/>
  <c r="N100" i="45"/>
  <c r="N111" i="45"/>
  <c r="N114" i="45"/>
  <c r="N115" i="45"/>
  <c r="N123" i="45"/>
  <c r="N121" i="45"/>
  <c r="N118" i="45"/>
  <c r="N120" i="45"/>
  <c r="N126" i="45"/>
  <c r="N109" i="45"/>
  <c r="N119" i="45"/>
  <c r="N116" i="45"/>
  <c r="N106" i="45"/>
  <c r="N105" i="45"/>
  <c r="N104" i="45"/>
  <c r="N103" i="45"/>
  <c r="N99" i="45"/>
  <c r="N95" i="45"/>
  <c r="N97" i="45"/>
  <c r="N96" i="45"/>
  <c r="N98" i="45"/>
  <c r="N117" i="45"/>
  <c r="N124" i="45"/>
  <c r="N101" i="45"/>
  <c r="N102" i="45"/>
  <c r="N135" i="45"/>
  <c r="N108" i="45"/>
  <c r="N107" i="45"/>
  <c r="N58" i="45"/>
  <c r="A1" i="53" l="1"/>
  <c r="R44" i="51"/>
  <c r="R43" i="51"/>
  <c r="R38" i="51"/>
  <c r="R37" i="51"/>
  <c r="C38" i="51"/>
  <c r="C39" i="51"/>
  <c r="C37" i="51"/>
  <c r="L67" i="51"/>
  <c r="O67" i="51" s="1"/>
  <c r="M66" i="51"/>
  <c r="L65" i="51"/>
  <c r="O65" i="51" s="1"/>
  <c r="L64" i="51"/>
  <c r="O64" i="51" s="1"/>
  <c r="L63" i="51"/>
  <c r="O63" i="51" s="1"/>
  <c r="L62" i="51"/>
  <c r="M62" i="51" s="1"/>
  <c r="L39" i="51"/>
  <c r="L40" i="51"/>
  <c r="L38" i="51"/>
  <c r="L37" i="51"/>
  <c r="T38" i="42"/>
  <c r="S31" i="7"/>
  <c r="T39" i="42" s="1"/>
  <c r="S32" i="7"/>
  <c r="T40" i="42" s="1"/>
  <c r="S33" i="7"/>
  <c r="T41" i="42" s="1"/>
  <c r="S34" i="7"/>
  <c r="T42" i="42" s="1"/>
  <c r="S30" i="7"/>
  <c r="S27" i="7"/>
  <c r="P52" i="42" s="1"/>
  <c r="S26" i="7"/>
  <c r="P51" i="42" s="1"/>
  <c r="S25" i="7"/>
  <c r="P50" i="42" s="1"/>
  <c r="S24" i="7"/>
  <c r="P49" i="42" s="1"/>
  <c r="S23" i="7"/>
  <c r="P48" i="42" s="1"/>
  <c r="S22" i="7"/>
  <c r="P47" i="42" s="1"/>
  <c r="S21" i="7"/>
  <c r="P46" i="42" s="1"/>
  <c r="S20" i="7"/>
  <c r="P45" i="42" s="1"/>
  <c r="S19" i="7"/>
  <c r="P44" i="42" s="1"/>
  <c r="S18" i="7"/>
  <c r="P43" i="42" s="1"/>
  <c r="S17" i="7"/>
  <c r="P42" i="42" s="1"/>
  <c r="S16" i="7"/>
  <c r="P41" i="42" s="1"/>
  <c r="S15" i="7"/>
  <c r="P40" i="42" s="1"/>
  <c r="S14" i="7"/>
  <c r="P39" i="42" s="1"/>
  <c r="S13" i="7"/>
  <c r="P38" i="42" s="1"/>
  <c r="S9" i="7"/>
  <c r="L39" i="42" s="1"/>
  <c r="S10" i="7"/>
  <c r="L40" i="42" s="1"/>
  <c r="S8" i="7"/>
  <c r="L38" i="42" s="1"/>
  <c r="A1" i="29"/>
  <c r="A1" i="45"/>
  <c r="B24" i="47" s="1"/>
  <c r="A1" i="7"/>
  <c r="A1" i="42"/>
  <c r="A1" i="51"/>
  <c r="L53" i="42" l="1"/>
  <c r="N67" i="51"/>
  <c r="P53" i="42"/>
  <c r="T53" i="42"/>
  <c r="N63" i="51"/>
  <c r="N64" i="51" s="1"/>
  <c r="N65" i="51" s="1"/>
  <c r="L41" i="51"/>
  <c r="L68" i="51"/>
  <c r="M68" i="51" s="1"/>
  <c r="C40" i="51"/>
  <c r="H37" i="51"/>
  <c r="H40" i="51"/>
  <c r="H41" i="51"/>
  <c r="H38" i="51"/>
  <c r="H39" i="51"/>
  <c r="G40" i="51"/>
  <c r="G41" i="51"/>
  <c r="G38" i="51"/>
  <c r="G39" i="51"/>
  <c r="G37" i="51"/>
  <c r="F37" i="51"/>
  <c r="F40" i="51"/>
  <c r="F41" i="51"/>
  <c r="F38" i="51"/>
  <c r="F39" i="51"/>
  <c r="R45" i="51"/>
  <c r="R39" i="51"/>
  <c r="R41" i="51"/>
  <c r="R40" i="51"/>
  <c r="I39" i="51" l="1"/>
  <c r="I40" i="51"/>
  <c r="I37" i="51"/>
  <c r="I41" i="51"/>
  <c r="I38" i="51"/>
  <c r="F42" i="51"/>
  <c r="G42" i="51"/>
  <c r="H42" i="51"/>
  <c r="R42" i="51"/>
  <c r="C53" i="42"/>
  <c r="I42" i="51" l="1"/>
  <c r="E25" i="29"/>
  <c r="E31" i="29"/>
  <c r="E21" i="29"/>
  <c r="E22" i="29"/>
  <c r="E30" i="29"/>
  <c r="E20" i="29"/>
  <c r="E23" i="29"/>
  <c r="E24" i="29"/>
  <c r="E32" i="29" l="1"/>
  <c r="E26" i="29"/>
  <c r="H16" i="29" l="1"/>
  <c r="H41" i="42" s="1"/>
  <c r="D85" i="7"/>
  <c r="D86" i="7"/>
  <c r="D87" i="7"/>
  <c r="D84" i="7"/>
  <c r="D76" i="7"/>
  <c r="D77" i="7"/>
  <c r="D78" i="7"/>
  <c r="D79" i="7"/>
  <c r="D80" i="7"/>
  <c r="D81" i="7"/>
  <c r="M29" i="29" l="1"/>
  <c r="M12" i="29"/>
  <c r="U10" i="29" l="1"/>
  <c r="O27" i="29"/>
  <c r="Z13" i="29" s="1"/>
  <c r="AK13" i="29" s="1"/>
  <c r="U34" i="29"/>
  <c r="AF29" i="29" s="1"/>
  <c r="U27" i="29"/>
  <c r="AF22" i="29" s="1"/>
  <c r="AQ22" i="29" s="1"/>
  <c r="M27" i="29"/>
  <c r="X13" i="29" s="1"/>
  <c r="AI13" i="29" s="1"/>
  <c r="O34" i="29"/>
  <c r="Z30" i="29" s="1"/>
  <c r="AK30" i="29" s="1"/>
  <c r="T34" i="29"/>
  <c r="AE30" i="29" s="1"/>
  <c r="AP30" i="29" s="1"/>
  <c r="T27" i="29"/>
  <c r="AE18" i="29" s="1"/>
  <c r="AP18" i="29" s="1"/>
  <c r="R34" i="29"/>
  <c r="R27" i="29"/>
  <c r="AC23" i="29" s="1"/>
  <c r="AN23" i="29" s="1"/>
  <c r="M34" i="29"/>
  <c r="X30" i="29" s="1"/>
  <c r="AI30" i="29" s="1"/>
  <c r="R14" i="45"/>
  <c r="R16" i="45"/>
  <c r="R19" i="45"/>
  <c r="R21" i="45"/>
  <c r="S22" i="45"/>
  <c r="Q16" i="45"/>
  <c r="Q19" i="45"/>
  <c r="Q21" i="45"/>
  <c r="Q22" i="45"/>
  <c r="Q14" i="45"/>
  <c r="D51" i="7"/>
  <c r="D62" i="7"/>
  <c r="D66" i="7"/>
  <c r="D67" i="7"/>
  <c r="D65" i="7"/>
  <c r="D50" i="7"/>
  <c r="D75" i="7"/>
  <c r="D74" i="7"/>
  <c r="D73" i="7"/>
  <c r="D72" i="7"/>
  <c r="D71" i="7"/>
  <c r="D61" i="7"/>
  <c r="Z23" i="29" l="1"/>
  <c r="AK23" i="29" s="1"/>
  <c r="Z14" i="29"/>
  <c r="AK14" i="29" s="1"/>
  <c r="Z15" i="29"/>
  <c r="AK15" i="29" s="1"/>
  <c r="Z18" i="29"/>
  <c r="AK18" i="29" s="1"/>
  <c r="Z22" i="29"/>
  <c r="AK22" i="29" s="1"/>
  <c r="AE16" i="29"/>
  <c r="AP16" i="29" s="1"/>
  <c r="Z16" i="29"/>
  <c r="AK16" i="29" s="1"/>
  <c r="Z24" i="29"/>
  <c r="AK24" i="29" s="1"/>
  <c r="Z17" i="29"/>
  <c r="AK17" i="29" s="1"/>
  <c r="Z25" i="29"/>
  <c r="AK25" i="29" s="1"/>
  <c r="Z26" i="29"/>
  <c r="AK26" i="29" s="1"/>
  <c r="Z19" i="29"/>
  <c r="AK19" i="29" s="1"/>
  <c r="Z12" i="29"/>
  <c r="AK12" i="29" s="1"/>
  <c r="Z20" i="29"/>
  <c r="AK20" i="29" s="1"/>
  <c r="Z21" i="29"/>
  <c r="AK21" i="29" s="1"/>
  <c r="AE32" i="29"/>
  <c r="AP32" i="29" s="1"/>
  <c r="AC17" i="29"/>
  <c r="AN17" i="29" s="1"/>
  <c r="AF33" i="29"/>
  <c r="Z33" i="29"/>
  <c r="AK33" i="29" s="1"/>
  <c r="X12" i="29"/>
  <c r="AI12" i="29" s="1"/>
  <c r="Z29" i="29"/>
  <c r="AK29" i="29" s="1"/>
  <c r="X23" i="29"/>
  <c r="AI23" i="29" s="1"/>
  <c r="AE23" i="29"/>
  <c r="AP23" i="29" s="1"/>
  <c r="X18" i="29"/>
  <c r="AI18" i="29" s="1"/>
  <c r="X31" i="29"/>
  <c r="AI31" i="29" s="1"/>
  <c r="AC26" i="29"/>
  <c r="AN26" i="29" s="1"/>
  <c r="AE17" i="29"/>
  <c r="AP17" i="29" s="1"/>
  <c r="AF31" i="29"/>
  <c r="X17" i="29"/>
  <c r="AI17" i="29" s="1"/>
  <c r="X21" i="29"/>
  <c r="AI21" i="29" s="1"/>
  <c r="AC20" i="29"/>
  <c r="AN20" i="29" s="1"/>
  <c r="X19" i="29"/>
  <c r="AI19" i="29" s="1"/>
  <c r="AC15" i="29"/>
  <c r="AN15" i="29" s="1"/>
  <c r="X25" i="29"/>
  <c r="AI25" i="29" s="1"/>
  <c r="X14" i="29"/>
  <c r="AI14" i="29" s="1"/>
  <c r="AC16" i="29"/>
  <c r="AN16" i="29" s="1"/>
  <c r="AE29" i="29"/>
  <c r="X22" i="29"/>
  <c r="AI22" i="29" s="1"/>
  <c r="X33" i="29"/>
  <c r="AI33" i="29" s="1"/>
  <c r="X26" i="29"/>
  <c r="AI26" i="29" s="1"/>
  <c r="AF14" i="29"/>
  <c r="AQ14" i="29" s="1"/>
  <c r="AF21" i="29"/>
  <c r="AQ21" i="29" s="1"/>
  <c r="AF15" i="29"/>
  <c r="AQ15" i="29" s="1"/>
  <c r="AC19" i="29"/>
  <c r="AN19" i="29" s="1"/>
  <c r="AC25" i="29"/>
  <c r="AN25" i="29" s="1"/>
  <c r="AE25" i="29"/>
  <c r="AP25" i="29" s="1"/>
  <c r="AE33" i="29"/>
  <c r="AP33" i="29" s="1"/>
  <c r="AF20" i="29"/>
  <c r="AQ20" i="29" s="1"/>
  <c r="X32" i="29"/>
  <c r="AI32" i="29" s="1"/>
  <c r="AF25" i="29"/>
  <c r="AQ25" i="29" s="1"/>
  <c r="AE13" i="29"/>
  <c r="AP13" i="29" s="1"/>
  <c r="AE31" i="29"/>
  <c r="AP31" i="29" s="1"/>
  <c r="AF32" i="29"/>
  <c r="AF18" i="29"/>
  <c r="AQ18" i="29" s="1"/>
  <c r="Z31" i="29"/>
  <c r="AK31" i="29" s="1"/>
  <c r="AC21" i="29"/>
  <c r="AN21" i="29" s="1"/>
  <c r="AE14" i="29"/>
  <c r="AP14" i="29" s="1"/>
  <c r="X16" i="29"/>
  <c r="AI16" i="29" s="1"/>
  <c r="X24" i="29"/>
  <c r="AI24" i="29" s="1"/>
  <c r="X15" i="29"/>
  <c r="AI15" i="29" s="1"/>
  <c r="AF17" i="29"/>
  <c r="AQ17" i="29" s="1"/>
  <c r="AF16" i="29"/>
  <c r="AQ16" i="29" s="1"/>
  <c r="AF26" i="29"/>
  <c r="AQ26" i="29" s="1"/>
  <c r="Z32" i="29"/>
  <c r="AK32" i="29" s="1"/>
  <c r="AC13" i="29"/>
  <c r="AN13" i="29" s="1"/>
  <c r="AE15" i="29"/>
  <c r="AP15" i="29" s="1"/>
  <c r="AE26" i="29"/>
  <c r="AP26" i="29" s="1"/>
  <c r="AF23" i="29"/>
  <c r="AQ23" i="29" s="1"/>
  <c r="X29" i="29"/>
  <c r="AI29" i="29" s="1"/>
  <c r="AF24" i="29"/>
  <c r="AQ24" i="29" s="1"/>
  <c r="X20" i="29"/>
  <c r="AI20" i="29" s="1"/>
  <c r="AF19" i="29"/>
  <c r="AQ19" i="29" s="1"/>
  <c r="AC24" i="29"/>
  <c r="AN24" i="29" s="1"/>
  <c r="AE20" i="29"/>
  <c r="AP20" i="29" s="1"/>
  <c r="AF12" i="29"/>
  <c r="AQ12" i="29" s="1"/>
  <c r="AF13" i="29"/>
  <c r="AQ13" i="29" s="1"/>
  <c r="AF30" i="29"/>
  <c r="AE12" i="29"/>
  <c r="AP12" i="29" s="1"/>
  <c r="AE21" i="29"/>
  <c r="AP21" i="29" s="1"/>
  <c r="AE19" i="29"/>
  <c r="AP19" i="29" s="1"/>
  <c r="AE22" i="29"/>
  <c r="AP22" i="29" s="1"/>
  <c r="AE24" i="29"/>
  <c r="AP24" i="29" s="1"/>
  <c r="AC30" i="29"/>
  <c r="AN30" i="29" s="1"/>
  <c r="AC33" i="29"/>
  <c r="AN33" i="29" s="1"/>
  <c r="AC32" i="29"/>
  <c r="AN32" i="29" s="1"/>
  <c r="AC31" i="29"/>
  <c r="AN31" i="29" s="1"/>
  <c r="AC29" i="29"/>
  <c r="AC12" i="29"/>
  <c r="AN12" i="29" s="1"/>
  <c r="AC14" i="29"/>
  <c r="AN14" i="29" s="1"/>
  <c r="AC22" i="29"/>
  <c r="AN22" i="29" s="1"/>
  <c r="AC18" i="29"/>
  <c r="AN18" i="29" s="1"/>
  <c r="Q17" i="45"/>
  <c r="R22" i="45"/>
  <c r="S14" i="45"/>
  <c r="S20" i="45"/>
  <c r="R20" i="45"/>
  <c r="Q15" i="45"/>
  <c r="R18" i="45"/>
  <c r="R15" i="45"/>
  <c r="S16" i="45"/>
  <c r="S18" i="45"/>
  <c r="Q20" i="45"/>
  <c r="S21" i="45"/>
  <c r="S17" i="45"/>
  <c r="R17" i="45"/>
  <c r="Q18" i="45"/>
  <c r="S19" i="45"/>
  <c r="S15" i="45"/>
  <c r="D70" i="7"/>
  <c r="D40" i="7"/>
  <c r="D55" i="7"/>
  <c r="D56" i="7"/>
  <c r="D57" i="7"/>
  <c r="D58" i="7"/>
  <c r="D59" i="7"/>
  <c r="D60" i="7"/>
  <c r="D54" i="7"/>
  <c r="D44" i="7"/>
  <c r="D45" i="7"/>
  <c r="D46" i="7"/>
  <c r="D47" i="7"/>
  <c r="D48" i="7"/>
  <c r="D49" i="7"/>
  <c r="D43" i="7"/>
  <c r="T19" i="45" l="1"/>
  <c r="E19" i="45" s="1"/>
  <c r="T22" i="45"/>
  <c r="D22" i="45" s="1"/>
  <c r="T16" i="45"/>
  <c r="E16" i="45" s="1"/>
  <c r="Z27" i="29"/>
  <c r="AE34" i="29"/>
  <c r="X34" i="29"/>
  <c r="AP29" i="29"/>
  <c r="X27" i="29"/>
  <c r="Z34" i="29"/>
  <c r="AF34" i="29"/>
  <c r="AE27" i="29"/>
  <c r="AC34" i="29"/>
  <c r="AN29" i="29"/>
  <c r="AC27" i="29"/>
  <c r="R23" i="45"/>
  <c r="S23" i="45"/>
  <c r="Q23" i="45"/>
  <c r="T17" i="45"/>
  <c r="E17" i="45" s="1"/>
  <c r="T15" i="45"/>
  <c r="C15" i="45" s="1"/>
  <c r="T20" i="45"/>
  <c r="C20" i="45" s="1"/>
  <c r="T14" i="45"/>
  <c r="E14" i="45" s="1"/>
  <c r="T18" i="45"/>
  <c r="E18" i="45" s="1"/>
  <c r="T21" i="45"/>
  <c r="R10" i="29" l="1"/>
  <c r="C17" i="45"/>
  <c r="D17" i="45"/>
  <c r="E39" i="29" s="1"/>
  <c r="D15" i="45"/>
  <c r="E37" i="29" s="1"/>
  <c r="E15" i="45"/>
  <c r="D37" i="29" s="1"/>
  <c r="D18" i="45"/>
  <c r="E40" i="29" s="1"/>
  <c r="C21" i="45"/>
  <c r="D21" i="45"/>
  <c r="E43" i="29" s="1"/>
  <c r="E20" i="45"/>
  <c r="D42" i="29" s="1"/>
  <c r="C18" i="45"/>
  <c r="C40" i="29" s="1"/>
  <c r="D20" i="45"/>
  <c r="E42" i="29" s="1"/>
  <c r="E21" i="45"/>
  <c r="D43" i="29" s="1"/>
  <c r="D38" i="29"/>
  <c r="D16" i="45"/>
  <c r="E38" i="29" s="1"/>
  <c r="C16" i="45"/>
  <c r="D41" i="29"/>
  <c r="C19" i="45"/>
  <c r="D19" i="45"/>
  <c r="E41" i="29" s="1"/>
  <c r="D14" i="45"/>
  <c r="E36" i="29" s="1"/>
  <c r="C14" i="45"/>
  <c r="E44" i="29"/>
  <c r="E22" i="45"/>
  <c r="D44" i="29" s="1"/>
  <c r="C22" i="45"/>
  <c r="D39" i="29"/>
  <c r="D40" i="29"/>
  <c r="C37" i="29"/>
  <c r="D36" i="29"/>
  <c r="T23" i="45"/>
  <c r="O10" i="29" l="1"/>
  <c r="F15" i="45"/>
  <c r="C43" i="29"/>
  <c r="F43" i="29" s="1"/>
  <c r="F21" i="45"/>
  <c r="C41" i="29"/>
  <c r="F41" i="29" s="1"/>
  <c r="F19" i="45"/>
  <c r="C38" i="29"/>
  <c r="F38" i="29" s="1"/>
  <c r="F16" i="45"/>
  <c r="C44" i="29"/>
  <c r="F44" i="29" s="1"/>
  <c r="F22" i="45"/>
  <c r="C39" i="29"/>
  <c r="F39" i="29" s="1"/>
  <c r="F17" i="45"/>
  <c r="C42" i="29"/>
  <c r="F42" i="29" s="1"/>
  <c r="F20" i="45"/>
  <c r="F18" i="45"/>
  <c r="C36" i="29"/>
  <c r="F36" i="29" s="1"/>
  <c r="F14" i="45"/>
  <c r="M9" i="29"/>
  <c r="M8" i="29"/>
  <c r="M7" i="29"/>
  <c r="E7" i="29"/>
  <c r="F37" i="29"/>
  <c r="F40" i="29"/>
  <c r="E15" i="29"/>
  <c r="E10" i="29"/>
  <c r="E9" i="29"/>
  <c r="E11" i="29"/>
  <c r="E8" i="29"/>
  <c r="Q10" i="29" l="1"/>
  <c r="S10" i="29"/>
  <c r="M10" i="29"/>
  <c r="T10" i="29"/>
  <c r="N10" i="29"/>
  <c r="D53" i="42"/>
  <c r="N27" i="29"/>
  <c r="Y12" i="29" s="1"/>
  <c r="P34" i="29"/>
  <c r="AA29" i="29" s="1"/>
  <c r="Q34" i="29"/>
  <c r="AB29" i="29" s="1"/>
  <c r="N34" i="29"/>
  <c r="Y32" i="29" s="1"/>
  <c r="S34" i="29"/>
  <c r="AD29" i="29" s="1"/>
  <c r="P27" i="29"/>
  <c r="AA14" i="29" s="1"/>
  <c r="Q27" i="29"/>
  <c r="AB21" i="29" s="1"/>
  <c r="S27" i="29"/>
  <c r="AD19" i="29" s="1"/>
  <c r="E12" i="29"/>
  <c r="Y21" i="29" l="1"/>
  <c r="AD31" i="29"/>
  <c r="Y13" i="29"/>
  <c r="Y15" i="29"/>
  <c r="AD17" i="29"/>
  <c r="AD14" i="29"/>
  <c r="AA13" i="29"/>
  <c r="AA19" i="29"/>
  <c r="AB30" i="29"/>
  <c r="AB33" i="29"/>
  <c r="AB32" i="29"/>
  <c r="Y18" i="29"/>
  <c r="Y20" i="29"/>
  <c r="Y16" i="29"/>
  <c r="AD12" i="29"/>
  <c r="Y33" i="29"/>
  <c r="Y23" i="29"/>
  <c r="Y17" i="29"/>
  <c r="Y26" i="29"/>
  <c r="AD22" i="29"/>
  <c r="Y30" i="29"/>
  <c r="AD20" i="29"/>
  <c r="AA20" i="29"/>
  <c r="AA21" i="29"/>
  <c r="AD21" i="29"/>
  <c r="AA18" i="29"/>
  <c r="AD16" i="29"/>
  <c r="AD23" i="29"/>
  <c r="AA26" i="29"/>
  <c r="Y22" i="29"/>
  <c r="Y19" i="29"/>
  <c r="AA23" i="29"/>
  <c r="AD25" i="29"/>
  <c r="AB13" i="29"/>
  <c r="AA25" i="29"/>
  <c r="Y14" i="29"/>
  <c r="Y24" i="29"/>
  <c r="Y25" i="29"/>
  <c r="AB16" i="29"/>
  <c r="AB15" i="29"/>
  <c r="AA22" i="29"/>
  <c r="AD18" i="29"/>
  <c r="Y29" i="29"/>
  <c r="AD13" i="29"/>
  <c r="AA17" i="29"/>
  <c r="AB31" i="29"/>
  <c r="AD26" i="29"/>
  <c r="AA33" i="29"/>
  <c r="AD33" i="29"/>
  <c r="AA24" i="29"/>
  <c r="AB19" i="29"/>
  <c r="AB20" i="29"/>
  <c r="AB24" i="29"/>
  <c r="AB12" i="29"/>
  <c r="AD15" i="29"/>
  <c r="AD30" i="29"/>
  <c r="AA15" i="29"/>
  <c r="AB25" i="29"/>
  <c r="AD24" i="29"/>
  <c r="AB17" i="29"/>
  <c r="AB23" i="29"/>
  <c r="Y31" i="29"/>
  <c r="AB22" i="29"/>
  <c r="AA30" i="29"/>
  <c r="AA12" i="29"/>
  <c r="AA16" i="29"/>
  <c r="AA32" i="29"/>
  <c r="AD32" i="29"/>
  <c r="AB18" i="29"/>
  <c r="AB14" i="29"/>
  <c r="AA31" i="29"/>
  <c r="AB26" i="29"/>
  <c r="AB34" i="29" l="1"/>
  <c r="Y27" i="29"/>
  <c r="AA27" i="29"/>
  <c r="AD27" i="29"/>
  <c r="AA34" i="29"/>
  <c r="Y34" i="29"/>
  <c r="AD34" i="29"/>
  <c r="AB27" i="29"/>
  <c r="E14" i="29"/>
  <c r="E13" i="29"/>
  <c r="E16" i="29" l="1"/>
  <c r="F7" i="29" s="1"/>
  <c r="F13" i="29" l="1"/>
  <c r="H11" i="29"/>
  <c r="H9" i="29"/>
  <c r="H8" i="29"/>
  <c r="H10" i="29"/>
  <c r="H15" i="29"/>
  <c r="H7" i="29"/>
  <c r="H12" i="29"/>
  <c r="G14" i="29"/>
  <c r="I14" i="29"/>
  <c r="G13" i="29"/>
  <c r="H14" i="29"/>
  <c r="F14" i="29"/>
  <c r="I13" i="29"/>
  <c r="H13" i="29"/>
  <c r="F11" i="29"/>
  <c r="I15" i="29"/>
  <c r="I8" i="29"/>
  <c r="G8" i="29"/>
  <c r="I10" i="29"/>
  <c r="F9" i="29"/>
  <c r="I11" i="29"/>
  <c r="G15" i="29"/>
  <c r="G9" i="29"/>
  <c r="G11" i="29"/>
  <c r="F15" i="29"/>
  <c r="F10" i="29"/>
  <c r="I9" i="29"/>
  <c r="G10" i="29"/>
  <c r="G7" i="29"/>
  <c r="F8" i="29"/>
  <c r="I7" i="29"/>
  <c r="F12" i="29"/>
  <c r="I12" i="29"/>
  <c r="G12" i="29"/>
  <c r="J14" i="29" l="1"/>
  <c r="E55" i="29" s="1"/>
  <c r="AP34" i="29" s="1"/>
  <c r="J8" i="29"/>
  <c r="E49" i="29" s="1"/>
  <c r="AJ34" i="29" s="1"/>
  <c r="J9" i="29"/>
  <c r="C50" i="29" s="1"/>
  <c r="AK27" i="29" s="1"/>
  <c r="J12" i="29"/>
  <c r="C53" i="29" s="1"/>
  <c r="AN27" i="29" s="1"/>
  <c r="J13" i="29"/>
  <c r="J10" i="29"/>
  <c r="J15" i="29"/>
  <c r="J11" i="29"/>
  <c r="C55" i="29" l="1"/>
  <c r="AP27" i="29" s="1"/>
  <c r="D55" i="29"/>
  <c r="AP10" i="29" s="1"/>
  <c r="E53" i="29"/>
  <c r="AN34" i="29" s="1"/>
  <c r="D53" i="29"/>
  <c r="AN10" i="29" s="1"/>
  <c r="C49" i="29"/>
  <c r="AJ27" i="29" s="1"/>
  <c r="AJ19" i="29" s="1"/>
  <c r="D49" i="29"/>
  <c r="AJ10" i="29" s="1"/>
  <c r="D50" i="29"/>
  <c r="AK10" i="29" s="1"/>
  <c r="E50" i="29"/>
  <c r="AK34" i="29" s="1"/>
  <c r="C54" i="29"/>
  <c r="AO27" i="29" s="1"/>
  <c r="D54" i="29"/>
  <c r="AO10" i="29" s="1"/>
  <c r="E54" i="29"/>
  <c r="AO34" i="29" s="1"/>
  <c r="D51" i="29"/>
  <c r="AL10" i="29" s="1"/>
  <c r="E51" i="29"/>
  <c r="AL34" i="29" s="1"/>
  <c r="C51" i="29"/>
  <c r="AL27" i="29" s="1"/>
  <c r="E52" i="29"/>
  <c r="AM34" i="29" s="1"/>
  <c r="C52" i="29"/>
  <c r="AM27" i="29" s="1"/>
  <c r="D52" i="29"/>
  <c r="AM10" i="29" s="1"/>
  <c r="E56" i="29"/>
  <c r="AQ34" i="29" s="1"/>
  <c r="D56" i="29"/>
  <c r="AQ10" i="29" s="1"/>
  <c r="C56" i="29"/>
  <c r="AQ27" i="29" s="1"/>
  <c r="AJ32" i="29"/>
  <c r="AJ33" i="29"/>
  <c r="AJ29" i="29"/>
  <c r="AJ31" i="29"/>
  <c r="AJ30" i="29"/>
  <c r="AJ15" i="29" l="1"/>
  <c r="AJ18" i="29"/>
  <c r="AJ21" i="29"/>
  <c r="AJ20" i="29"/>
  <c r="AJ25" i="29"/>
  <c r="AJ12" i="29"/>
  <c r="AJ22" i="29"/>
  <c r="AJ23" i="29"/>
  <c r="AJ17" i="29"/>
  <c r="AJ13" i="29"/>
  <c r="AJ16" i="29"/>
  <c r="AJ24" i="29"/>
  <c r="AJ14" i="29"/>
  <c r="AJ26" i="29"/>
  <c r="AO30" i="29"/>
  <c r="AO33" i="29"/>
  <c r="AO32" i="29"/>
  <c r="AO31" i="29"/>
  <c r="AO29" i="29"/>
  <c r="AO14" i="29"/>
  <c r="AO12" i="29"/>
  <c r="AO21" i="29"/>
  <c r="AO13" i="29"/>
  <c r="AO15" i="29"/>
  <c r="AO16" i="29"/>
  <c r="AO22" i="29"/>
  <c r="AO24" i="29"/>
  <c r="AO20" i="29"/>
  <c r="AO17" i="29"/>
  <c r="AO23" i="29"/>
  <c r="AO18" i="29"/>
  <c r="AO25" i="29"/>
  <c r="AO26" i="29"/>
  <c r="AO19" i="29"/>
  <c r="AM29" i="29"/>
  <c r="AM30" i="29"/>
  <c r="AM32" i="29"/>
  <c r="AM33" i="29"/>
  <c r="AM31" i="29"/>
  <c r="AL14" i="29"/>
  <c r="AL25" i="29"/>
  <c r="AL24" i="29"/>
  <c r="AL18" i="29"/>
  <c r="AL16" i="29"/>
  <c r="AL21" i="29"/>
  <c r="AL20" i="29"/>
  <c r="AL19" i="29"/>
  <c r="AL13" i="29"/>
  <c r="AL23" i="29"/>
  <c r="AL26" i="29"/>
  <c r="AL17" i="29"/>
  <c r="AL15" i="29"/>
  <c r="AL12" i="29"/>
  <c r="AL22" i="29"/>
  <c r="AQ29" i="29"/>
  <c r="AQ33" i="29"/>
  <c r="AQ31" i="29"/>
  <c r="AQ32" i="29"/>
  <c r="AQ30" i="29"/>
  <c r="AL29" i="29"/>
  <c r="AL31" i="29"/>
  <c r="AL30" i="29"/>
  <c r="AL33" i="29"/>
  <c r="AL32" i="29"/>
  <c r="AM21" i="29"/>
  <c r="AM22" i="29"/>
  <c r="AM13" i="29"/>
  <c r="AM26" i="29"/>
  <c r="AM17" i="29"/>
  <c r="AM19" i="29"/>
  <c r="AM23" i="29"/>
  <c r="AM15" i="29"/>
  <c r="AM20" i="29"/>
  <c r="AM24" i="29"/>
  <c r="AM25" i="29"/>
  <c r="AM18" i="29"/>
  <c r="AM14" i="29"/>
  <c r="AM12" i="29"/>
  <c r="AM16" i="29"/>
  <c r="J7" i="29"/>
  <c r="E48" i="29" s="1"/>
  <c r="AR23" i="29" l="1"/>
  <c r="AR29" i="29"/>
  <c r="AR15" i="29"/>
  <c r="AR16" i="29"/>
  <c r="AR33" i="29"/>
  <c r="AR30" i="29"/>
  <c r="AR12" i="29"/>
  <c r="AR21" i="29"/>
  <c r="AR17" i="29"/>
  <c r="AR18" i="29"/>
  <c r="AR24" i="29"/>
  <c r="AR26" i="29"/>
  <c r="AR25" i="29"/>
  <c r="AR14" i="29"/>
  <c r="AR19" i="29"/>
  <c r="AR13" i="29"/>
  <c r="AR32" i="29"/>
  <c r="AR22" i="29"/>
  <c r="AR20" i="29"/>
  <c r="AR31" i="29"/>
  <c r="C48" i="29"/>
  <c r="AI27" i="29" s="1"/>
  <c r="J16" i="29"/>
  <c r="D48" i="29"/>
  <c r="AI34" i="29"/>
  <c r="AR34" i="29" s="1"/>
  <c r="E57" i="29"/>
  <c r="H39" i="42" s="1"/>
  <c r="C57" i="29" l="1"/>
  <c r="H40" i="42" s="1"/>
  <c r="AR27" i="29"/>
  <c r="D57" i="29"/>
  <c r="H38" i="42" s="1"/>
  <c r="AI10" i="29"/>
  <c r="AR10" i="29" s="1"/>
  <c r="H53" i="42" l="1"/>
  <c r="P10" i="29"/>
  <c r="AC9" i="29" l="1"/>
  <c r="AN9" i="29" s="1"/>
  <c r="AC7" i="29"/>
  <c r="AN7" i="29" s="1"/>
  <c r="AC8" i="29"/>
  <c r="AN8" i="29" s="1"/>
  <c r="AC10" i="29" l="1"/>
  <c r="X9" i="29"/>
  <c r="AI9" i="29" s="1"/>
  <c r="X8" i="29"/>
  <c r="AI8" i="29" s="1"/>
  <c r="X7" i="29"/>
  <c r="X10" i="29" l="1"/>
  <c r="AI7" i="29"/>
  <c r="AB8" i="29"/>
  <c r="AM8" i="29" s="1"/>
  <c r="AE9" i="29"/>
  <c r="AP9" i="29" s="1"/>
  <c r="AD9" i="29"/>
  <c r="AO9" i="29" s="1"/>
  <c r="Z8" i="29"/>
  <c r="AK8" i="29" s="1"/>
  <c r="Y7" i="29"/>
  <c r="AJ7" i="29" s="1"/>
  <c r="Y9" i="29"/>
  <c r="AJ9" i="29" s="1"/>
  <c r="AF7" i="29"/>
  <c r="AQ7" i="29" s="1"/>
  <c r="AE8" i="29"/>
  <c r="AP8" i="29" s="1"/>
  <c r="AB9" i="29"/>
  <c r="AM9" i="29" s="1"/>
  <c r="Z9" i="29"/>
  <c r="AK9" i="29" s="1"/>
  <c r="AA9" i="29"/>
  <c r="AL9" i="29" s="1"/>
  <c r="AF9" i="29"/>
  <c r="AQ9" i="29" s="1"/>
  <c r="AE7" i="29"/>
  <c r="AP7" i="29" s="1"/>
  <c r="Y8" i="29"/>
  <c r="AJ8" i="29" s="1"/>
  <c r="AB7" i="29"/>
  <c r="AM7" i="29" s="1"/>
  <c r="AD7" i="29"/>
  <c r="AO7" i="29" s="1"/>
  <c r="AA7" i="29"/>
  <c r="AL7" i="29" s="1"/>
  <c r="AD8" i="29"/>
  <c r="AO8" i="29" s="1"/>
  <c r="AF8" i="29"/>
  <c r="AQ8" i="29" s="1"/>
  <c r="Z7" i="29"/>
  <c r="AK7" i="29" s="1"/>
  <c r="AA8" i="29"/>
  <c r="AL8" i="29" s="1"/>
  <c r="AB10" i="29" l="1"/>
  <c r="Z10" i="29"/>
  <c r="Y10" i="29"/>
  <c r="AR8" i="29"/>
  <c r="K39" i="42" s="1"/>
  <c r="AR7" i="29"/>
  <c r="AR9" i="29"/>
  <c r="K40" i="42" s="1"/>
  <c r="AE10" i="29"/>
  <c r="AA10" i="29"/>
  <c r="AD10" i="29"/>
  <c r="K38" i="42" l="1"/>
  <c r="K53" i="42" s="1"/>
  <c r="O47" i="42"/>
  <c r="S42" i="42"/>
  <c r="O44" i="42"/>
  <c r="O42" i="42"/>
  <c r="S40" i="42"/>
  <c r="O50" i="42"/>
  <c r="O48" i="42"/>
  <c r="O52" i="42"/>
  <c r="O51" i="42"/>
  <c r="O45" i="42"/>
  <c r="O46" i="42"/>
  <c r="S41" i="42"/>
  <c r="O38" i="42"/>
  <c r="O40" i="42"/>
  <c r="O41" i="42"/>
  <c r="O39" i="42"/>
  <c r="S39" i="42"/>
  <c r="S38" i="42"/>
  <c r="O43" i="42"/>
  <c r="O49" i="42"/>
  <c r="O53" i="42" l="1"/>
  <c r="S53" i="42"/>
</calcChain>
</file>

<file path=xl/sharedStrings.xml><?xml version="1.0" encoding="utf-8"?>
<sst xmlns="http://schemas.openxmlformats.org/spreadsheetml/2006/main" count="1085" uniqueCount="393">
  <si>
    <t>Aantal vrouwen</t>
  </si>
  <si>
    <t>1e lijn</t>
  </si>
  <si>
    <t>2e lijn</t>
  </si>
  <si>
    <t>Kraamzorg</t>
  </si>
  <si>
    <t>Bron</t>
  </si>
  <si>
    <t>Aantal zwangeren met tenminste 22 weken zwangerschapsduur</t>
  </si>
  <si>
    <t>Peristat.nl</t>
  </si>
  <si>
    <t>Omschrijving</t>
  </si>
  <si>
    <t>Inschrijving (K 202) (niet in een achterstandswijk)</t>
  </si>
  <si>
    <t>Intake bij de client thuis (K 203) (niet in een achterstandswijk)</t>
  </si>
  <si>
    <t>Uur kraamzorg (K 201) (niet in een achterstandswijk)</t>
  </si>
  <si>
    <t>Intake telefonisch (K 205) (niet in een achterstandswijk)</t>
  </si>
  <si>
    <t>Uur partusassistentie  (K 206) (niet in een achterstandswijk)</t>
  </si>
  <si>
    <t>Uur kraamzorg (K 201) (in een achterstandswijk)</t>
  </si>
  <si>
    <t>Partusassistentie (K 204) (niet in een achterstandswijk)</t>
  </si>
  <si>
    <t>Module geboortecentrum</t>
  </si>
  <si>
    <t>Huishoudelijke hulp na Kraamzorg</t>
  </si>
  <si>
    <t>Inschrijving (K 202) (in een achterstandswijk)</t>
  </si>
  <si>
    <t>Verblijf geboortecentrum</t>
  </si>
  <si>
    <t>Intake bij de client thuis (K 203) (in een achterstandswijk)</t>
  </si>
  <si>
    <t>Uur kraamzorg SOS (controlegroep)</t>
  </si>
  <si>
    <t>Consult lactatiekundige</t>
  </si>
  <si>
    <t>Uur partusassistentie  (K 206) (in een achterstandswijk)</t>
  </si>
  <si>
    <t>Kraamzorg digitale voorlichting en instructie</t>
  </si>
  <si>
    <t>Bevalling met lachgassedatie in een geboortecentrum</t>
  </si>
  <si>
    <t>Module geboortecentrum Doorverwezen tijdens bevalling</t>
  </si>
  <si>
    <t>Intake telefonisch (K 205) (in een achterstandswijk)</t>
  </si>
  <si>
    <t>Consult aan huis lactatiekundige</t>
  </si>
  <si>
    <t>Partusassistentie (K 204) (in een achterstandswijk)</t>
  </si>
  <si>
    <t>Telefonisch consult lactatiekundige</t>
  </si>
  <si>
    <t>Bevalling in een geboortecentrum op sociale indicatie of medische indicatie</t>
  </si>
  <si>
    <t>Module geboortecentrum post partum doorverwezen bevalling</t>
  </si>
  <si>
    <t>Kraamzorg niet via de biologische moeder</t>
  </si>
  <si>
    <t>Uur kraamzorg SOS achterstandswijken (interventiegroep)</t>
  </si>
  <si>
    <t>Uur kraamzorg SOS achterstandswijken (controlegroep)</t>
  </si>
  <si>
    <t>Termijnecho om vast te stellen hoe lang iemand zwanger is</t>
  </si>
  <si>
    <t>Volledige postnatale zorg, verzekerden niet woonachtig in achterstandswijken</t>
  </si>
  <si>
    <t>Specifieke diagnose echo: bloedverlies</t>
  </si>
  <si>
    <t>Prenatale screening Tweede Trimester Structureel Echoscopisch Onderzoek (TTSEO) (echo rond 20 weken zwangerschap) bij eenlingen en bij het eerste kind van een meerlingenzwangerschap</t>
  </si>
  <si>
    <t>Specifieke diagnose echo: groeistagnatie</t>
  </si>
  <si>
    <t>Volledige verloskundige zorg, verzekerden niet woonachtig in achterstandswijken</t>
  </si>
  <si>
    <t>Prenatale screening: counseling</t>
  </si>
  <si>
    <t>Specifieke diagnose echo: ligging</t>
  </si>
  <si>
    <t>Prenatale zorg in de periode na 29 weken doch vóór de bevalling, verzekerden niet woonachtig in achterstandswijken</t>
  </si>
  <si>
    <t>Specifieke diagnose echo: placentacontrole</t>
  </si>
  <si>
    <t>Volledige prenatale zorg, verzekerden niet woonachtig in achterstandswijken</t>
  </si>
  <si>
    <t>Toeslag integrale geboortezorg</t>
  </si>
  <si>
    <t>Module Open Project</t>
  </si>
  <si>
    <t>Volledige natale zorg, verzekerden niet woonachtig in achterstandswijken</t>
  </si>
  <si>
    <t>Prenatale zorg in de periode van 0 t/m 14 weken, verzekerden niet woonachtig in achterstandswijken</t>
  </si>
  <si>
    <t>Prenatale zorg in de periode van 15 t/m 29 weken, verzekerden niet woonachtig in achterstandswijken</t>
  </si>
  <si>
    <t>Het van buitenaf draaien van het ongeboren kind van stuitligging naar hoofdligging</t>
  </si>
  <si>
    <t>Volledige postnatale zorg, verzekerden woonachtig in achterstandswijken</t>
  </si>
  <si>
    <t>Volledige verloskundige zorg, verzekerden woonachtig in achterstandswijken</t>
  </si>
  <si>
    <t>Prenatale zorg in de periode na 29 weken doch vóór de bevalling, verzekerden woonachtig in achterstandswijken</t>
  </si>
  <si>
    <t>In de periode van 15 t/m 29 weken, tweede zorgaanbieder, verzekerden niet woonachtig in achterstandswijken</t>
  </si>
  <si>
    <t>Prenatale screening Nuchal Translucentie (NT-)meting (nekplooimeting) zonder medische indicatie bij eenlingen en bij het eerste kind van een meerlingenzwangerschap</t>
  </si>
  <si>
    <t>In de periode na 29 weken doch vóór de bevalling, eerste zorgaanbieder, verzekerden woonachtig in achterstandswijken</t>
  </si>
  <si>
    <t>In de periode van 0 t/m 14 weken, tweede zorgaanbieder, verzekerden niet woonachtig in achterstandswijken</t>
  </si>
  <si>
    <t>In de periode na 29 weken doch vóór de bevalling, eerste zorgaanbieder, verzekerden niet woonachtig in achterstandswijken</t>
  </si>
  <si>
    <t>In de periode van 0 t/m 14 weken, eerste zorgaanbieder, verzekerden niet woonachtig in achterstandswijken</t>
  </si>
  <si>
    <t>In de periode na 29 weken doch vóór de bevalling, tweede zorgaanbieder, verzekerden niet woonachtig in achterstandswijken</t>
  </si>
  <si>
    <t>In de periode van 15 t/m 29 weken, eerste zorgaanbieder, verzekerden niet woonachtig in achterstandswijken</t>
  </si>
  <si>
    <t>Toeslag 1e lijns geboortecentrum</t>
  </si>
  <si>
    <t>Prenatale zorg in de periode van 0 t/m 14 weken, verzekerden woonachtig in achterstandswijken</t>
  </si>
  <si>
    <t>Prenatale screening Nuchal Translucentie (NT-)meting (nekplooimeting) met medische indicatie bij eenlingen en bij het eerste kind van een meerlingenzwangerschap</t>
  </si>
  <si>
    <t>In de periode van 15 t/m 29 weken, eerste zorgaanbieder, verzekerden woonachtig in achterstandswijken</t>
  </si>
  <si>
    <t>Module geboortecentrum Doorverwezen bevalling</t>
  </si>
  <si>
    <t>Specifieke diagnose echo: uitwendige versie bij stuitligging</t>
  </si>
  <si>
    <t>Volledige natale zorg, verzekerden woonachtig in achterstandswijken</t>
  </si>
  <si>
    <t>Toeslag 1e lijns geboortecentrum met beschikbaarheid lachgas</t>
  </si>
  <si>
    <t>Prenatale zorg in de periode van 15 t/m 29 weken, verzekerden woonachtig in achterstandswijken</t>
  </si>
  <si>
    <t>In de periode van 15 t/m 29 weken, tweede zorgaanbieder, verzekerden woonachtig in achterstandswijken</t>
  </si>
  <si>
    <t>In de periode van 0 t/m 14 weken, eerste zorgaanbieder, verzekerden woonachtig in achterstandswijken</t>
  </si>
  <si>
    <t>IUD (spiraaltje) of etonogestrel implantatiestaafje aanbrengen/implanteren of verwijderen</t>
  </si>
  <si>
    <t>Prenatale screening Tweede Trimester Structureel Echoscopisch Onderzoek (TTSEO) (echo rond 20 weken zwangerschap) bij elk volgend kind van een meerlingenzwangerschap</t>
  </si>
  <si>
    <t>Consult CTG diagnostiek voor zwangere door verloskundige in eerste lijn</t>
  </si>
  <si>
    <t>Volledige prenatale zorg, verzekerden woonachtig in achterstandswijken</t>
  </si>
  <si>
    <t>Prenatale screening Nuchal Translucentie (NT-)meting (nekplooimeting) met medische indicatie bij elk volgend kind van een meerlingenzwangerschap</t>
  </si>
  <si>
    <t>In de periode van 0 t/m 14 weken, tweede zorgaanbieder, verzekerden woonachtig in achterstandswijken</t>
  </si>
  <si>
    <t>In de periode na 29 weken doch vóór de bevalling, tweede zorgaanbieder, verzekerden woonachtig in achterstandswijken</t>
  </si>
  <si>
    <t>Specifieke diagnose echo: verminderde vitaliteit</t>
  </si>
  <si>
    <t>Module geboortecentrum doorverwezen lachgas bevalling</t>
  </si>
  <si>
    <t>Begeleiding zwangerschap | Dag/ Poli &gt;2 | Zwangersch/bevall/kraamb zwangerschap</t>
  </si>
  <si>
    <t>Verloskundig adviesconsult | 1-2 consulten | Zwangersch/bevall/kraamb zwangerschap</t>
  </si>
  <si>
    <t>Begeleiding zwangerschap | Licht ambulant | Zwangersch/bevall/kraamb zwangerschap</t>
  </si>
  <si>
    <t>Begeleiding zwangerschap | Klin kort | Zwangersch/bevall/kraamb zwangerschap</t>
  </si>
  <si>
    <t>Sectio caesarea | Zwangersch/bevall/kraamb bevalling/compl</t>
  </si>
  <si>
    <t>Vaginale kunstverlossing | Zwangersch/bevall/kraamb bevalling/compl</t>
  </si>
  <si>
    <t>Nazorg na partus elders en/of postnatale complicaties |Ambulant | Zwangersch/bevall/kraamb bevalling/compl</t>
  </si>
  <si>
    <t>Begeleiding spontane partus | Zwangersch/bevall/kraamb bevalling/compl</t>
  </si>
  <si>
    <t>Begeleiding zwangerschap | Routine onderzoek &gt;2 | Zwangersch/bevall/kraamb zwangerschap</t>
  </si>
  <si>
    <t>Verblijf gezonde zuigeling.</t>
  </si>
  <si>
    <t>Poliklinische bevalling zonder medische indicatie niet door een gynaecoloog met partusassistentie.</t>
  </si>
  <si>
    <t>(Abortus) curettage/ Therapeutische hysteroscopie | Zwangersch/bevall/kraamb misgeboorte</t>
  </si>
  <si>
    <t>Licht ambulant | Zwangersch/bevall/kraamb misgeboorte</t>
  </si>
  <si>
    <t>Poliklinische bevalling op medische indicatie niet door een gynaecoloog met partusassistentie.</t>
  </si>
  <si>
    <t>Klin kort | Zwangersch/bevall/kraamb misgeboorte</t>
  </si>
  <si>
    <t>Begeleiding zwangerschap | Klin middel | Zwangersch/bevall/kraamb zwangerschap</t>
  </si>
  <si>
    <t>Dag/ Poli &gt;2/ Routine onderzoek &gt;2 | Zwangersch/bevall/kraamb misgeboorte</t>
  </si>
  <si>
    <t>Prenatale screening: counseling.</t>
  </si>
  <si>
    <t>Partus met (manuele) placentaverwijdering/ oper cervixscheur | Zwangersch/bevall/kraamb bevalling/compl</t>
  </si>
  <si>
    <t>Begeleiding zwangerschap | Diagnostisch (zwaar)/ Therapeutisch licht | Zwangersch/bevall/kraamb zwangerschap</t>
  </si>
  <si>
    <t>Begeleiding spontane partus stuit/ meerling | Zwangersch/bevall/kraamb bevalling/compl</t>
  </si>
  <si>
    <t>Klin middel | Zwangersch/bevall/kraamb misgeboorte</t>
  </si>
  <si>
    <t>Nazorg na partus elders en/of postnatale complicaties | Dag/ Klin cumulatief kort | Zwangersch/bevall/kraamb bevalling/compl</t>
  </si>
  <si>
    <t>Oper wegens extra-uteriene zwangerschap | Zwangersch/bevall/kraamb misgeboorte</t>
  </si>
  <si>
    <t>Nazorg na partus elders en/of postnatale complicaties | (Manuele) placentaverwijdering/ oper cervixscheur | Zwangersch/bevall/kraamb bevalling/compl</t>
  </si>
  <si>
    <t>Begeleiding zwangerschap | Klin (zeer) lang | Zwangersch/bevall/kraamb zwangerschap</t>
  </si>
  <si>
    <t>Partus met complexe fluxusbehandeling OK | Zwangersch/bevall/kraamb bevalling/compl</t>
  </si>
  <si>
    <t>Nazorg na partus elders en/of postnatale complicaties | Dag/ Klin cumulatief middel | Zwangersch/bevall/kraamb bevalling/compl</t>
  </si>
  <si>
    <t>Prenatale screening: Nuchal Translucentie (NT-) meting (nekplooimeting) bij eenling en het eerste kind van een meerlingzwangerschap.</t>
  </si>
  <si>
    <t>Diagnostisch (zwaar)/ Therapeutisch licht | Zwangersch/bevall/kraamb misgeboorte</t>
  </si>
  <si>
    <t>Verblijf gezonde moeder.</t>
  </si>
  <si>
    <t>Nazorg na partus elders en/of postnatale complicaties | Complexe fluxusbehandeling OK | Zwangersch/bevall/kraamb bevalling/compl</t>
  </si>
  <si>
    <t>Begeleiding zwangerschap | Aanbrengen cerclage | Zwangersch/bevall/kraamb zwangerschap</t>
  </si>
  <si>
    <t>Poliklinische bevalling zonder medische indicatie niet door een gynaecoloog en zonder partusassistentie.</t>
  </si>
  <si>
    <t>Echografie Ã -vue in verband met zwangerschap.</t>
  </si>
  <si>
    <t>Verplichte poliklinische bevalling zonder medische indicatie niet door een gynaecoloog en zonder partusassistentie.</t>
  </si>
  <si>
    <t>Verplichte poliklinische bevalling zonder medische indicatie niet door een gynaecoloog met partusassistentie.</t>
  </si>
  <si>
    <t>Prenatale screening: Structureel Echoscopisch Onderzoek (SEO) bij eenling en het eerste kind van een meerlingzwangerschap.</t>
  </si>
  <si>
    <t>Prenatale screening: Nuchal Translucentie (NT-) meting (nekplooimeting) bij ieder volgend kind van een meerlingzwangerschap.</t>
  </si>
  <si>
    <t>Poliklinische bevalling op medische indicatie niet door een gynaecoloog en zonder partusassistentie.</t>
  </si>
  <si>
    <t>Prenatale screening: Structureel Echoscopisch Onderzoek (SEO) bij ieder volgend kind van een meerlingzwangerschap.</t>
  </si>
  <si>
    <t>Begeleiding zwangerschap | Vruchtwaterpunctie/ chorionbiopsie | Zwangersch/bevall/kraamb zwangerschap</t>
  </si>
  <si>
    <t>Begeleiding zwangerschap | Intra-uteriene shuntchirurgie | Zwangersch/bevall/kraamb zwangerschap</t>
  </si>
  <si>
    <t>Eenheid</t>
  </si>
  <si>
    <t>Aantal</t>
  </si>
  <si>
    <t>Euro</t>
  </si>
  <si>
    <t>-</t>
  </si>
  <si>
    <t>Ziekenhuis</t>
  </si>
  <si>
    <t>Type partus</t>
  </si>
  <si>
    <t>Begeleiding eindigend voor 16 weken zwangerschap inclusief nazorg</t>
  </si>
  <si>
    <t>Geboortezorg prenataal</t>
  </si>
  <si>
    <t>Geboortezorg prenataal complex</t>
  </si>
  <si>
    <t>Geboortezorg nataal</t>
  </si>
  <si>
    <t>Geboortezorg nataal intramuraal op eigen verzoek</t>
  </si>
  <si>
    <t>Geboortezorg postnataal complex</t>
  </si>
  <si>
    <t>Kraamzorg postnataal per uur</t>
  </si>
  <si>
    <t>Geboortezorg nataal complex</t>
  </si>
  <si>
    <t>Geboortezorg postnataal</t>
  </si>
  <si>
    <t>Begeleiding eindigend &lt;16 wkn zwangerschap incl. nazorg</t>
  </si>
  <si>
    <t>Check</t>
  </si>
  <si>
    <t>Tarief per vrouw</t>
  </si>
  <si>
    <t>Inkomsten samenwerking</t>
  </si>
  <si>
    <t>Totaal</t>
  </si>
  <si>
    <t>Overig</t>
  </si>
  <si>
    <t>Identifier</t>
  </si>
  <si>
    <t>Uur kraamzorg SOS (interventiegroep)</t>
  </si>
  <si>
    <t>Specifieke diagnose echo</t>
  </si>
  <si>
    <t>Innovatie- en kwaliteitsprojecten</t>
  </si>
  <si>
    <t>Overige kosten</t>
  </si>
  <si>
    <t>Algemene termijnecho om de zwangerschapsduur te bepalen</t>
  </si>
  <si>
    <t>Kosten Algemene termijnecho om de zwangerschapsduur te bepalen</t>
  </si>
  <si>
    <t>Kosten Specifieke diagnose echo</t>
  </si>
  <si>
    <t>Omzet</t>
  </si>
  <si>
    <t>Te verdelen omzet</t>
  </si>
  <si>
    <t>Verdeelsleutel per prestatie</t>
  </si>
  <si>
    <t>Omzet per zorgaanbieder</t>
  </si>
  <si>
    <t>Integrale geboortezorg prestatie</t>
  </si>
  <si>
    <t>Maximumtarief NZA</t>
  </si>
  <si>
    <t>IB prestatie</t>
  </si>
  <si>
    <t>Consult voor vrouw met kinderwens, 20 minuten en langer</t>
  </si>
  <si>
    <t>Consult voor vrouw met kinderwens, korter dan 20 minuten</t>
  </si>
  <si>
    <t>Totale inkomsten</t>
  </si>
  <si>
    <t>Beheerskosten IGO</t>
  </si>
  <si>
    <t>Toelichting</t>
  </si>
  <si>
    <t>Gewogen gemiddelde tarief wat IGO gecontracteerd heeft met de zorgverzekeraars</t>
  </si>
  <si>
    <t>Eerstelijns verloskunde</t>
  </si>
  <si>
    <t>Ziekenhuis 1</t>
  </si>
  <si>
    <t>Ziekenhuis 2</t>
  </si>
  <si>
    <t>Ziekenhuis 3</t>
  </si>
  <si>
    <t>Zoals: Bestuur, Scholing, Communicatie, Administratie, Accountant, Kantoor en faciliteiten</t>
  </si>
  <si>
    <t>Omzet zorgaanbieder</t>
  </si>
  <si>
    <t>Omzetverdeling naar post / zorgaanbieder</t>
  </si>
  <si>
    <t>Kraamzorgorganisatie 1</t>
  </si>
  <si>
    <t>Kraamzorgorganisatie 2</t>
  </si>
  <si>
    <t>Kraamzorgorganisatie 3</t>
  </si>
  <si>
    <t>Kraamzorgorganisatie 4</t>
  </si>
  <si>
    <t>Kraamzorgorganisatie 5</t>
  </si>
  <si>
    <t>Praktijk 1</t>
  </si>
  <si>
    <t>Praktijk 2</t>
  </si>
  <si>
    <t>Praktijk 3</t>
  </si>
  <si>
    <t>Praktijk 4</t>
  </si>
  <si>
    <t>Praktijk 5</t>
  </si>
  <si>
    <t>Praktijk 6</t>
  </si>
  <si>
    <t>Praktijk 7</t>
  </si>
  <si>
    <t>Praktijk 8</t>
  </si>
  <si>
    <t>Praktijk 9</t>
  </si>
  <si>
    <t>Praktijk 10</t>
  </si>
  <si>
    <t>Praktijk 11</t>
  </si>
  <si>
    <t>Praktijk 12</t>
  </si>
  <si>
    <t>Praktijk 13</t>
  </si>
  <si>
    <t>Praktijk 14</t>
  </si>
  <si>
    <t>Praktijk 15</t>
  </si>
  <si>
    <t>Eerstelijns verloskunde pratijk</t>
  </si>
  <si>
    <t>Kraamzorgorganisatie</t>
  </si>
  <si>
    <t>Aantallen</t>
  </si>
  <si>
    <t>Aandeel</t>
  </si>
  <si>
    <t>Omzet per aanbieder per Integrale prestatie</t>
  </si>
  <si>
    <t>Totale omzet ziekenhuizen</t>
  </si>
  <si>
    <t>Totale omzet kraamzorgorganisaties</t>
  </si>
  <si>
    <t>Totale omzet</t>
  </si>
  <si>
    <t>Alleen invullen indien echoscopisten een onderaannemer zijn van de IGO</t>
  </si>
  <si>
    <t>Alleen invullen indien geboortecentrum een onderaannemer is van de IGO</t>
  </si>
  <si>
    <t>Prestatie</t>
  </si>
  <si>
    <t>Tarief per prestatie</t>
  </si>
  <si>
    <t>Nt-meting - bij eenlingen en bij het eerste kind van een meerlingenzwangerschap</t>
  </si>
  <si>
    <t>Nt-meting - bij elk volgend kind van een meerlingenzwangerschap</t>
  </si>
  <si>
    <t>Prestatie- en tariefbeschikking verloskunde TB-REG-22617-01</t>
  </si>
  <si>
    <t>Kosten - Nt-meting - bij eenlingen en bij het eerste kind van een meerlingenzwangerschap</t>
  </si>
  <si>
    <t>Prenatale screening TTSEO - bij eenlingen en bij het eerste kind van een meerlingenzwangerschap</t>
  </si>
  <si>
    <t>Kosten Prenatale screening TTSEO - bij eenlingen en bij het eerste kind van een meerlingenzwangerschap</t>
  </si>
  <si>
    <t>Kosten Nt-meting - bij elk volgend kind van een meerlingenzwangerschap</t>
  </si>
  <si>
    <t>Prenatale screening TTSEO - bij elk volgend kind van een meerlingenzwangerschap</t>
  </si>
  <si>
    <t>Kosten Prenatale screening TTSEO - bij elk volgend kind van een meerlingenzwangerschap</t>
  </si>
  <si>
    <t xml:space="preserve">Geboortecentrum </t>
  </si>
  <si>
    <t>Kosten gebruik geboortecentrum</t>
  </si>
  <si>
    <t>Geboortecentrum met beschikbaarheid lachgas</t>
  </si>
  <si>
    <t>Kosten gebruik geboortecentrum met beschikbaarheid lachgas</t>
  </si>
  <si>
    <t>Kosten IGO</t>
  </si>
  <si>
    <t>Reden verwijzing</t>
  </si>
  <si>
    <t>Verantwoordelijke zwangerschap</t>
  </si>
  <si>
    <t>Overdracht 1e naar 2e lijn</t>
  </si>
  <si>
    <t>Geen reden geregistreerd</t>
  </si>
  <si>
    <t>Geen</t>
  </si>
  <si>
    <t>Kunstverlossing</t>
  </si>
  <si>
    <t>Sectio Caesarea</t>
  </si>
  <si>
    <t>Spontaan</t>
  </si>
  <si>
    <t>Ante partum</t>
  </si>
  <si>
    <t>TOP</t>
  </si>
  <si>
    <t>Durante partu</t>
  </si>
  <si>
    <t>Postpartum</t>
  </si>
  <si>
    <t>Preëxistente aandoeningen</t>
  </si>
  <si>
    <t>SC in anamnese</t>
  </si>
  <si>
    <t>Overige aandoeningen in obstetrische anamnese</t>
  </si>
  <si>
    <t>Zwangerschapshypertensie</t>
  </si>
  <si>
    <t>Groeivertraging (verdenking op)</t>
  </si>
  <si>
    <t>Serotiniteit</t>
  </si>
  <si>
    <t>(dreigende) vroeggeboorte</t>
  </si>
  <si>
    <t>Liggingsafwijking a terme</t>
  </si>
  <si>
    <t>Minder leven</t>
  </si>
  <si>
    <t>Langdurig gebroken vliezen zonder weeën</t>
  </si>
  <si>
    <t>Niet-vorderende ontsluiting</t>
  </si>
  <si>
    <t>Niet-vorderende uitdrijving</t>
  </si>
  <si>
    <t>Meconiumhoudend vruchtwater</t>
  </si>
  <si>
    <t>Pijnbestrijding/sedatie tijdens baring</t>
  </si>
  <si>
    <t>Fluxus</t>
  </si>
  <si>
    <t>Perineumruptuur</t>
  </si>
  <si>
    <t>Niet medische indicatie vrouw en kind</t>
  </si>
  <si>
    <t>Overige indicaties</t>
  </si>
  <si>
    <t>Onbekend</t>
  </si>
  <si>
    <t>Onduidelijk</t>
  </si>
  <si>
    <t>NICU-opnames</t>
  </si>
  <si>
    <t>NICU-opnamedagen</t>
  </si>
  <si>
    <t>Algemene opnames</t>
  </si>
  <si>
    <t>Totaal aantal opnames</t>
  </si>
  <si>
    <t>Algemene opnamedagen</t>
  </si>
  <si>
    <t>Totaal aantal opnamedagen</t>
  </si>
  <si>
    <t>Aantal (2019)</t>
  </si>
  <si>
    <t>Gemiddelde opnameduur NICU</t>
  </si>
  <si>
    <t>Gemiddelde algemene opnameduur</t>
  </si>
  <si>
    <t>Totaal gemiddelde opnameduur</t>
  </si>
  <si>
    <t>Overzicht inkomsten IGO / zorggroep / …</t>
  </si>
  <si>
    <t>Beheerskosten IGO / zorggroep / …</t>
  </si>
  <si>
    <t>Totale omzet IGO / zorggroep / ... en te verdelen omzet IGO / zorggroep / …</t>
  </si>
  <si>
    <t>Totaal Nederland monodisciplianir bekostigde geboortezorg</t>
  </si>
  <si>
    <t>Verantwoordelijke tijdens zwangerschap</t>
  </si>
  <si>
    <t>Totaal aantal integrale prestaties voor de hele IGO / zorggroep / …</t>
  </si>
  <si>
    <t>Aantal integrale geboortezorg prestaties</t>
  </si>
  <si>
    <t xml:space="preserve">Totaal aantal integrale prestaties </t>
  </si>
  <si>
    <t>Berekening verdeeloptie Inkomsten per IG-prestatie: Verdeling naar zorgaanbieder</t>
  </si>
  <si>
    <t>Begeleiding zwangerschap door 1e lijn</t>
  </si>
  <si>
    <t>Overdracht naar 2e lijn ante partum</t>
  </si>
  <si>
    <t>Overdracht naar 2e lijn durante partum</t>
  </si>
  <si>
    <t>Overdracht naar 2e lijn post partum</t>
  </si>
  <si>
    <t>Overdracht naar 2e lijn onduidelijk</t>
  </si>
  <si>
    <t>wit</t>
  </si>
  <si>
    <t>blauw</t>
  </si>
  <si>
    <t>groen</t>
  </si>
  <si>
    <t>Volledig in 1e lijn</t>
  </si>
  <si>
    <t>Begeleiding zwangerschap</t>
  </si>
  <si>
    <t>Moment van overdracht naar tweede lijn</t>
  </si>
  <si>
    <t>Input grafiek</t>
  </si>
  <si>
    <t>Versie</t>
  </si>
  <si>
    <t>Opmerking: * De LNR voor niet-NICU’s kent een onderregistratie: niet alle ziekenhuizen registreren en niet alle ziekenhuizen registreren alle opnames</t>
  </si>
  <si>
    <t>Gecontracteerd tarief per integrale geboortezorg prestatie</t>
  </si>
  <si>
    <t>Overheadkosten van de IGO / zorggroep / …</t>
  </si>
  <si>
    <t>Berekening verdelingspercentages op basis van monodisciplinaire prestaties</t>
  </si>
  <si>
    <t xml:space="preserve">Opmerking: Als er minder ziekenhuizen, kraamzorgorganisaties of eerstelijnsverloskundigenpraktijken zijn, kunnen de cellen voor die organisaties/praktijken leeg gelaten worden. </t>
  </si>
  <si>
    <t>Eerstelijnsverloskundigenpraktijk</t>
  </si>
  <si>
    <t>Eerstelijnsverloskundigenpratijk</t>
  </si>
  <si>
    <t>Aantal IG-prestaties per zorgaanbieder</t>
  </si>
  <si>
    <t>Mogelijke activiteiten buiten IGO / zorggroep / … - echscopie</t>
  </si>
  <si>
    <t>Mogelijke activiteiten buiten IGO / zorggroep / … - geboortezorgcentrum</t>
  </si>
  <si>
    <t>Activiteiten buiten IGO</t>
  </si>
  <si>
    <t>Activiteiten door echoscopisten buiten de IGO / zorggroep / …</t>
  </si>
  <si>
    <t>Activiteiten door geboortecentrum buiten de IGO / zorggroep / …</t>
  </si>
  <si>
    <t>Tarief</t>
  </si>
  <si>
    <t>Type aanbieder</t>
  </si>
  <si>
    <t>Input huidige monodisciplinaire prestaties per type zorgaanbieder</t>
  </si>
  <si>
    <t>Verdeelpercentages per IG-tarief die in het model gebruikt worden</t>
  </si>
  <si>
    <t>Op dit tabblad vind je de uitkomsten van de berekende verdeling. Je ziet de totale inkomsten van de IGO / zorggroep / …, welk deel van deze inkomsten nodig zijn voor beheerskosten van de IGO, innovatie- en kwaliteitsprojecten, overige kosten en de inkomsten per type zorgaanbieder. Tot slot zijn de totale inkomsten per type zorgaanbieder verdeeld over de individuele zorgaanbieders.</t>
  </si>
  <si>
    <t>Regiokenmerken</t>
  </si>
  <si>
    <t>Invoertabblad - regiokenmerken</t>
  </si>
  <si>
    <t xml:space="preserve">Uitkomsten verdeling inkomsten per IG-prestatie </t>
  </si>
  <si>
    <t>Invoertabblad - geleverde zorg</t>
  </si>
  <si>
    <t>Invoertabblad - verdeling</t>
  </si>
  <si>
    <t>Berekening van de verdeling</t>
  </si>
  <si>
    <t>TestZkh1</t>
  </si>
  <si>
    <t>TestZkh2</t>
  </si>
  <si>
    <t>TestZkh3</t>
  </si>
  <si>
    <t>Jaar</t>
  </si>
  <si>
    <t>JaarModel</t>
  </si>
  <si>
    <t>Namen ziekenhuizen in IGO / zorggroep / …</t>
  </si>
  <si>
    <t>Namen eerstelijnsverloskundigen pratijken in IGO / zorggroep / …</t>
  </si>
  <si>
    <t>Namen kraamzorgorganisaties in IGO / zorggroep / …</t>
  </si>
  <si>
    <t>Jaartal</t>
  </si>
  <si>
    <t>Tekst</t>
  </si>
  <si>
    <t>NaamPraktijk 1</t>
  </si>
  <si>
    <t>NaamPraktijk 2</t>
  </si>
  <si>
    <t>NaamPraktijk 3</t>
  </si>
  <si>
    <t>NaamPraktijk 4</t>
  </si>
  <si>
    <t>NaamPraktijk 5</t>
  </si>
  <si>
    <t>NaamPraktijk 6</t>
  </si>
  <si>
    <t>NaamPraktijk 7</t>
  </si>
  <si>
    <t>NaamPraktijk 8</t>
  </si>
  <si>
    <t>NaamPraktijk 9</t>
  </si>
  <si>
    <t>NaamPraktijk 10</t>
  </si>
  <si>
    <t>NaamPraktijk 11</t>
  </si>
  <si>
    <t>NaamPraktijk 12</t>
  </si>
  <si>
    <t>NaamPraktijk 13</t>
  </si>
  <si>
    <t>NaamPraktijk 14</t>
  </si>
  <si>
    <t>NaamPraktijk 15</t>
  </si>
  <si>
    <t>NaamKraamzorgorganisatie 1</t>
  </si>
  <si>
    <t>NaamKraamzorgorganisatie 2</t>
  </si>
  <si>
    <t>NaamKraamzorgorganisatie 3</t>
  </si>
  <si>
    <t>NaamKraamzorgorganisatie 4</t>
  </si>
  <si>
    <t>NaamKraamzorgorganisatie 5</t>
  </si>
  <si>
    <t>NaamZiekenhuis 1</t>
  </si>
  <si>
    <t>NaamZiekenhuis 2</t>
  </si>
  <si>
    <t>NaamZiekenhuis 3</t>
  </si>
  <si>
    <t>Prestatiecode</t>
  </si>
  <si>
    <t>Model ingevuld voor</t>
  </si>
  <si>
    <t>Inkomsten uit monodisciplinaire tarieven per integraal geboortezorg tarief &amp; type zorgaanbieder. Gebaseerd op de tabel links.</t>
  </si>
  <si>
    <t>SiRM-instapverdeelmodel: Inkomstenverdeling integrale geboortezorg</t>
  </si>
  <si>
    <t>Op dit tabblad kun je de gegevens invoeren over de regiokenmerken. Deze gegevens zijn bijvoorbeeld bij Perined op te vragen.
Het is niet noodzakelijk om dit tabblad in te vullen om de verdeling door te rekenen.</t>
  </si>
  <si>
    <t>TestPraktijk 1</t>
  </si>
  <si>
    <t>TestPraktijk 2</t>
  </si>
  <si>
    <t>TestPraktijk 3</t>
  </si>
  <si>
    <t>TestPraktijk 4</t>
  </si>
  <si>
    <t>TestPraktijk 5</t>
  </si>
  <si>
    <t>TestPraktijk 6</t>
  </si>
  <si>
    <t>TestPraktijk 7</t>
  </si>
  <si>
    <t>TestPraktijk 8</t>
  </si>
  <si>
    <t>TestPraktijk 9</t>
  </si>
  <si>
    <t>TestPraktijk 10</t>
  </si>
  <si>
    <t>TestPraktijk 11</t>
  </si>
  <si>
    <t>TestPraktijk 12</t>
  </si>
  <si>
    <t>TestPraktijk 13</t>
  </si>
  <si>
    <t>TestPraktijk 14</t>
  </si>
  <si>
    <t>TestPraktijk 15</t>
  </si>
  <si>
    <t>TestKraamzorgorganisatie 1</t>
  </si>
  <si>
    <t>TestKraamzorgorganisatie 2</t>
  </si>
  <si>
    <t>TestKraamzorgorganisatie 3</t>
  </si>
  <si>
    <t>TestKraamzorgorganisatie 4</t>
  </si>
  <si>
    <t>TestKraamzorgorganisatie 5</t>
  </si>
  <si>
    <t>Input voor de hele regio IGO / zorggroep / …</t>
  </si>
  <si>
    <t>Toelichting SiRM-instapverdeelmodel - Inkomsten per integrale geboortezorg (IG-)prestatie</t>
  </si>
  <si>
    <t>Dit instapverdeelmodel biedt de optie om de inkomsten uit integrale geboortezorg (IG-)prestaties te verdelen. De inkomsten van de IGO / zorggroep / ... worden op basis van een verdeelsleutel per IG-prestatie verdeeld naar de zorgaanbieders. Hieronder vind je per tabblad een toelichting over wat je daar kunt vinden. Door het klikken op de naam van het tabblad ga je naar het desbetreffende tabblad.
De tabbladen zijn beveiligd om het functioneren van het model te waarborgen. Om de beveiliging van een tabblad af te halen: 1) klik met de rechtermuisknop op het tabblad 2) klik op "beveiliging blad opheffen" 3) klik op "OK" . Deze stappen moeten herhaald worden voor alle tabbladen waar je de beveiliging af wilt halen.</t>
  </si>
  <si>
    <t>Op dit tabblad vind je de kenmerken van de vrouwen en kinderen in de regio van de IGO / zorggroep / … : de verantwoordelijke tijdens de zwangerschap en bevalling, overdrachtsmomenten, overdrachtsredenen en opnames van pasgeborenen. Sommige van deze gegevens kunnen ook fungeren als kwaliteitsindicator. Daarnaast kan deze informatie behulpzaam zijn om de impact van verandering van geboortezorgpaden in te schatten.</t>
  </si>
  <si>
    <t>Op dit tabblad kun je de gegevens invoeren over de geleverde zorg in de IGO / zorggroep / … Deze gegevens zijn nodig om de verdeling door te rekenen. De belangrijkste inputs hiervoor zijn het aantal IG-prestaties en het gemiddelde tarief per IG-prestatie. Ook kun je hier de namen van de organisaties in de IGO / zorggroep / ... invoeren.
Het is noodzakelijk om dit tabblad in te vullen om de verdeling door te rekenen.</t>
  </si>
  <si>
    <t>Op dit tabblad kun je de gegevens invoeren die, naast de gegevens over geleverde zorg, specifiek nodig zijn voor de verdeling. De belangrijkste input is de verdeelsleutel per IG-prestatie. Deze kan bijvoorbeeld gebaseerd worden op de (historische) aantallen en kosten per monodisciplinaire prestatie.
Het is noodzakelijk om dit tabblad in te vullen om de verdeling door te rekenen.</t>
  </si>
  <si>
    <t>Op dit tabblad wordt de verdeling doorgerekend. Vanuit dit tabblad worden de grafieken in het tabblad "Uitkomsten verdeling" gevoed.</t>
  </si>
  <si>
    <t>Bron: Perined, 2019</t>
  </si>
  <si>
    <t>Partus in 1e lijn</t>
  </si>
  <si>
    <t>(Dreigende) vroeggeboorte</t>
  </si>
  <si>
    <t>Niet-medische indicatie vrouw en kind</t>
  </si>
  <si>
    <t>Eerstelijnsverloskunde</t>
  </si>
  <si>
    <t>Toelichting: Pas alleen blauw-/groengekleurde cellen aan</t>
  </si>
  <si>
    <t>Toelichting: Pas alleen de blauw-/groengekleurde cellen aan</t>
  </si>
  <si>
    <t>Jaar = 2019</t>
  </si>
  <si>
    <t>Verdeelpercentages per IG-tarief. Wanneer deze niet zijn ingevuld, worden de percentages gebaseerd op de huidige monodisciplinaire prestaties</t>
  </si>
  <si>
    <t>Ter referentie: Landelijke percentages op basis van monodisciplinaire bekostiging 2019 (Bron: NZa)</t>
  </si>
  <si>
    <t>Opmerking: De vooringevulde tarieven zijn voor de eerstelijnsverloskunde het maximumtarief 2021 (bron: Prestatie- en tariefbeschikking verloskunde - TB/REG-21612-01).</t>
  </si>
  <si>
    <t xml:space="preserve">Opmerking: De prestaties "Volledige verloskundige zorg, verzekerden woonachtig in achterstandswijken" &amp; "Volledige verloskundige zorg, verzekerden niet woonachtig in achterstandswijken" komen drie keer voor in de tabel, zodat ze verdeeld kunnen worden over prenatale, natale en postnatale zorg. </t>
  </si>
  <si>
    <t>Opmerking: De vooringevulde tarieven zijn voor de kraamzorg het maxmumtarief 2021 (bron: Prestatie- en tariefbeschikking kraamzorg - TB/REG-21611-01).</t>
  </si>
  <si>
    <t>Opmerking: De vooringevulde tarieven zijn voor het ziekenehuis het gemiddelde tarief 2021 en waar dit niet beschikbaar was 2020 (bron: NZa).</t>
  </si>
  <si>
    <t>Totaal aantal prestaties</t>
  </si>
  <si>
    <t>Totale omzet eerstelijnsverloskundigenpraktijken</t>
  </si>
  <si>
    <t>Zoals: implementatie van een wijziging in een zorgpad</t>
  </si>
  <si>
    <t>Zoals: eenmalige projectondersteuning</t>
  </si>
  <si>
    <t>Mogelijke bron: Perined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</si>
</sst>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164" formatCode="0.0%"/>
    <numFmt numFmtId="165" formatCode="&quot;€&quot;\ #,##0.0;[Red]&quot;€&quot;\ \-#,##0.0"/>
    <numFmt numFmtId="166" formatCode="#,##0.0"/>
  </numFmts>
  <fonts count="15" x14ac:knownFonts="1">
    <font>
      <sz val="11"/>
      <color theme="1"/>
      <name val="Nunito"/>
      <family val="2"/>
      <scheme val="minor"/>
    </font>
    <font>
      <b/>
      <sz val="11"/>
      <color theme="1"/>
      <name val="Nunito"/>
      <scheme val="minor"/>
    </font>
    <font>
      <b/>
      <sz val="11"/>
      <color theme="0"/>
      <name val="Nunito"/>
      <scheme val="minor"/>
    </font>
    <font>
      <sz val="11"/>
      <name val="Nunito"/>
      <scheme val="minor"/>
    </font>
    <font>
      <b/>
      <sz val="14"/>
      <color theme="1"/>
      <name val="Nunito"/>
      <scheme val="minor"/>
    </font>
    <font>
      <u/>
      <sz val="11"/>
      <color theme="10"/>
      <name val="Nunito"/>
      <family val="2"/>
      <scheme val="minor"/>
    </font>
    <font>
      <sz val="11"/>
      <color rgb="FF000000"/>
      <name val="Nunito"/>
      <family val="2"/>
      <scheme val="minor"/>
    </font>
    <font>
      <b/>
      <sz val="14"/>
      <color theme="0"/>
      <name val="Nunito"/>
      <scheme val="minor"/>
    </font>
    <font>
      <sz val="11"/>
      <color theme="0"/>
      <name val="Nunito"/>
      <scheme val="minor"/>
    </font>
    <font>
      <sz val="10"/>
      <color theme="1"/>
      <name val="Century Gothic"/>
      <family val="2"/>
    </font>
    <font>
      <b/>
      <sz val="14"/>
      <name val="Nunito"/>
      <scheme val="minor"/>
    </font>
    <font>
      <sz val="11"/>
      <name val="Nunito"/>
      <family val="2"/>
      <scheme val="minor"/>
    </font>
    <font>
      <b/>
      <sz val="11"/>
      <color theme="8"/>
      <name val="Nunito"/>
      <scheme val="minor"/>
    </font>
    <font>
      <sz val="11"/>
      <color theme="0" tint="-0.14999847407452621"/>
      <name val="Nunito"/>
      <family val="2"/>
      <scheme val="minor"/>
    </font>
    <font>
      <b/>
      <sz val="11"/>
      <name val="Nunito"/>
      <scheme val="minor"/>
    </font>
  </fonts>
  <fills count="11">
    <fill>
      <patternFill patternType="none"/>
    </fill>
    <fill>
      <patternFill patternType="gray125"/>
    </fill>
    <fill>
      <patternFill patternType="solid">
        <fgColor theme="5"/>
        <bgColor indexed="64"/>
      </patternFill>
    </fill>
    <fill>
      <patternFill patternType="solid">
        <fgColor theme="4"/>
        <bgColor indexed="64"/>
      </patternFill>
    </fill>
    <fill>
      <patternFill patternType="solid">
        <fgColor theme="6"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theme="8"/>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5" fillId="0" borderId="0" applyNumberFormat="0" applyFill="0" applyBorder="0" applyAlignment="0" applyProtection="0"/>
    <xf numFmtId="0" fontId="6" fillId="0" borderId="0"/>
    <xf numFmtId="0" fontId="9" fillId="0" borderId="0"/>
    <xf numFmtId="0" fontId="9" fillId="0" borderId="0"/>
  </cellStyleXfs>
  <cellXfs count="186">
    <xf numFmtId="0" fontId="0" fillId="0" borderId="0" xfId="0"/>
    <xf numFmtId="0" fontId="1" fillId="0" borderId="0" xfId="0" applyFont="1"/>
    <xf numFmtId="0" fontId="0" fillId="0" borderId="1" xfId="0" applyBorder="1"/>
    <xf numFmtId="0" fontId="4" fillId="0" borderId="0" xfId="0" applyFont="1"/>
    <xf numFmtId="0" fontId="0" fillId="0" borderId="0" xfId="0" applyAlignment="1">
      <alignment horizontal="center"/>
    </xf>
    <xf numFmtId="0" fontId="0" fillId="0" borderId="0" xfId="0" applyAlignment="1">
      <alignment wrapText="1"/>
    </xf>
    <xf numFmtId="6" fontId="0" fillId="0" borderId="1" xfId="0" applyNumberFormat="1" applyBorder="1"/>
    <xf numFmtId="6" fontId="0" fillId="0" borderId="0" xfId="0" applyNumberFormat="1"/>
    <xf numFmtId="0" fontId="1" fillId="0" borderId="0" xfId="0" applyFont="1"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Border="1" applyAlignment="1">
      <alignment vertical="center"/>
    </xf>
    <xf numFmtId="9" fontId="0" fillId="0" borderId="1" xfId="0" applyNumberFormat="1" applyBorder="1" applyAlignment="1">
      <alignment horizontal="center" vertical="center"/>
    </xf>
    <xf numFmtId="0" fontId="1" fillId="0" borderId="1" xfId="0" applyFont="1" applyBorder="1"/>
    <xf numFmtId="6" fontId="0" fillId="0" borderId="1" xfId="0" applyNumberFormat="1" applyBorder="1" applyAlignment="1">
      <alignment vertical="center"/>
    </xf>
    <xf numFmtId="0" fontId="7" fillId="2" borderId="0" xfId="0" applyFont="1" applyFill="1" applyAlignment="1">
      <alignment horizontal="centerContinuous"/>
    </xf>
    <xf numFmtId="0" fontId="8" fillId="2" borderId="0" xfId="0" applyFont="1" applyFill="1" applyAlignment="1">
      <alignment horizontal="centerContinuous"/>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3" fontId="0" fillId="0" borderId="2" xfId="0" applyNumberFormat="1" applyBorder="1" applyAlignment="1">
      <alignment vertical="center"/>
    </xf>
    <xf numFmtId="6" fontId="0" fillId="0" borderId="2" xfId="0" applyNumberFormat="1" applyBorder="1" applyAlignment="1">
      <alignment vertical="center"/>
    </xf>
    <xf numFmtId="0" fontId="1" fillId="0" borderId="3" xfId="0" applyFont="1" applyBorder="1" applyAlignment="1">
      <alignment horizontal="left" vertical="center" wrapText="1"/>
    </xf>
    <xf numFmtId="3" fontId="1" fillId="0" borderId="4" xfId="0" applyNumberFormat="1" applyFont="1" applyBorder="1" applyAlignment="1">
      <alignment vertical="center"/>
    </xf>
    <xf numFmtId="6" fontId="1" fillId="0" borderId="4" xfId="0" applyNumberFormat="1" applyFont="1" applyBorder="1" applyAlignment="1">
      <alignment vertical="center"/>
    </xf>
    <xf numFmtId="0" fontId="2" fillId="3" borderId="1" xfId="0" applyFont="1" applyFill="1" applyBorder="1" applyAlignment="1">
      <alignment horizontal="left" vertical="center"/>
    </xf>
    <xf numFmtId="3" fontId="0" fillId="0" borderId="0" xfId="0" applyNumberFormat="1"/>
    <xf numFmtId="0" fontId="0" fillId="0" borderId="2" xfId="0" applyBorder="1"/>
    <xf numFmtId="0" fontId="1" fillId="0" borderId="3" xfId="0" applyFont="1" applyBorder="1"/>
    <xf numFmtId="6" fontId="0" fillId="0" borderId="2" xfId="0" applyNumberFormat="1" applyBorder="1"/>
    <xf numFmtId="0" fontId="0" fillId="0" borderId="6" xfId="0" applyBorder="1" applyAlignment="1">
      <alignment horizontal="left" vertical="center" wrapText="1"/>
    </xf>
    <xf numFmtId="3" fontId="0" fillId="0" borderId="1" xfId="0" applyNumberFormat="1" applyBorder="1" applyAlignment="1">
      <alignment horizontal="center"/>
    </xf>
    <xf numFmtId="6" fontId="0" fillId="0" borderId="1" xfId="0" applyNumberFormat="1" applyBorder="1" applyAlignment="1">
      <alignment horizontal="center"/>
    </xf>
    <xf numFmtId="3" fontId="0" fillId="0" borderId="2" xfId="0" applyNumberFormat="1" applyBorder="1" applyAlignment="1">
      <alignment horizontal="center"/>
    </xf>
    <xf numFmtId="6" fontId="0" fillId="0" borderId="2" xfId="0" applyNumberFormat="1" applyBorder="1" applyAlignment="1">
      <alignment horizontal="center"/>
    </xf>
    <xf numFmtId="6" fontId="1" fillId="0" borderId="5" xfId="0" applyNumberFormat="1" applyFont="1" applyBorder="1" applyAlignment="1">
      <alignment horizontal="center"/>
    </xf>
    <xf numFmtId="3" fontId="1" fillId="0" borderId="4" xfId="0" applyNumberFormat="1" applyFont="1" applyBorder="1" applyAlignment="1">
      <alignment horizontal="center"/>
    </xf>
    <xf numFmtId="6" fontId="1" fillId="0" borderId="4" xfId="0" applyNumberFormat="1" applyFont="1" applyBorder="1" applyAlignment="1">
      <alignment horizontal="center" vertical="center"/>
    </xf>
    <xf numFmtId="6" fontId="1" fillId="0" borderId="5" xfId="0" applyNumberFormat="1" applyFont="1" applyBorder="1" applyAlignment="1">
      <alignment vertical="center"/>
    </xf>
    <xf numFmtId="165" fontId="0" fillId="0" borderId="1" xfId="0" applyNumberFormat="1" applyBorder="1"/>
    <xf numFmtId="0" fontId="1" fillId="0" borderId="0" xfId="0" applyFont="1" applyAlignment="1">
      <alignment vertical="center"/>
    </xf>
    <xf numFmtId="6" fontId="0" fillId="0" borderId="1" xfId="0" applyNumberFormat="1" applyBorder="1" applyAlignment="1">
      <alignment horizontal="center" vertical="center"/>
    </xf>
    <xf numFmtId="6" fontId="1" fillId="0" borderId="4" xfId="0" applyNumberFormat="1" applyFont="1" applyBorder="1" applyAlignment="1">
      <alignment horizontal="center"/>
    </xf>
    <xf numFmtId="0" fontId="10" fillId="6" borderId="7" xfId="0" applyFont="1" applyFill="1" applyBorder="1" applyAlignment="1">
      <alignment horizontal="centerContinuous"/>
    </xf>
    <xf numFmtId="0" fontId="3" fillId="6" borderId="8" xfId="0" applyFont="1" applyFill="1" applyBorder="1" applyAlignment="1">
      <alignment horizontal="centerContinuous"/>
    </xf>
    <xf numFmtId="0" fontId="3" fillId="6" borderId="9" xfId="0" applyFont="1" applyFill="1" applyBorder="1" applyAlignment="1">
      <alignment horizontal="centerContinuous"/>
    </xf>
    <xf numFmtId="0" fontId="1" fillId="0" borderId="0" xfId="0" applyFont="1" applyAlignment="1">
      <alignment horizontal="center" wrapText="1"/>
    </xf>
    <xf numFmtId="0" fontId="0" fillId="0" borderId="1" xfId="0" applyBorder="1" applyAlignment="1">
      <alignment vertical="center"/>
    </xf>
    <xf numFmtId="9" fontId="0" fillId="0" borderId="1" xfId="0" applyNumberFormat="1" applyBorder="1" applyAlignment="1">
      <alignment horizontal="center"/>
    </xf>
    <xf numFmtId="6" fontId="1" fillId="7" borderId="1" xfId="0" applyNumberFormat="1" applyFont="1" applyFill="1" applyBorder="1"/>
    <xf numFmtId="0" fontId="1" fillId="7" borderId="1" xfId="0" applyFont="1" applyFill="1" applyBorder="1"/>
    <xf numFmtId="6" fontId="0" fillId="0" borderId="1" xfId="0" applyNumberFormat="1" applyBorder="1" applyAlignment="1">
      <alignment horizontal="left"/>
    </xf>
    <xf numFmtId="3" fontId="0" fillId="0" borderId="1" xfId="0" applyNumberFormat="1" applyBorder="1" applyAlignment="1">
      <alignment horizontal="left"/>
    </xf>
    <xf numFmtId="0" fontId="0" fillId="0" borderId="0" xfId="0" applyAlignment="1">
      <alignment horizontal="left"/>
    </xf>
    <xf numFmtId="164" fontId="0" fillId="0" borderId="1" xfId="0" applyNumberFormat="1" applyBorder="1" applyAlignment="1">
      <alignment horizontal="left"/>
    </xf>
    <xf numFmtId="9" fontId="0" fillId="0" borderId="1" xfId="0" applyNumberFormat="1" applyBorder="1" applyAlignment="1">
      <alignment horizontal="left"/>
    </xf>
    <xf numFmtId="0" fontId="1" fillId="0" borderId="0" xfId="0" applyFont="1" applyAlignment="1">
      <alignment wrapText="1"/>
    </xf>
    <xf numFmtId="0" fontId="1" fillId="7" borderId="1" xfId="0" applyFont="1" applyFill="1" applyBorder="1" applyAlignment="1">
      <alignment horizontal="left"/>
    </xf>
    <xf numFmtId="3" fontId="1" fillId="7" borderId="1" xfId="0" applyNumberFormat="1" applyFont="1" applyFill="1" applyBorder="1" applyAlignment="1">
      <alignment horizontal="center"/>
    </xf>
    <xf numFmtId="6" fontId="1" fillId="7" borderId="1" xfId="0" applyNumberFormat="1" applyFont="1" applyFill="1" applyBorder="1" applyAlignment="1">
      <alignment horizontal="center"/>
    </xf>
    <xf numFmtId="9" fontId="1" fillId="7" borderId="1" xfId="0" applyNumberFormat="1" applyFont="1" applyFill="1" applyBorder="1" applyAlignment="1">
      <alignment horizontal="center"/>
    </xf>
    <xf numFmtId="0" fontId="0" fillId="2" borderId="0" xfId="0" applyFill="1"/>
    <xf numFmtId="0" fontId="2" fillId="2" borderId="0" xfId="0" applyFont="1" applyFill="1"/>
    <xf numFmtId="0" fontId="2" fillId="8" borderId="0" xfId="0" applyFont="1" applyFill="1"/>
    <xf numFmtId="0" fontId="0" fillId="8" borderId="0" xfId="0" applyFill="1"/>
    <xf numFmtId="0" fontId="2" fillId="5" borderId="0" xfId="0" applyFont="1" applyFill="1"/>
    <xf numFmtId="0" fontId="0" fillId="5" borderId="0" xfId="0" applyFill="1"/>
    <xf numFmtId="14" fontId="0" fillId="0" borderId="0" xfId="0" applyNumberFormat="1"/>
    <xf numFmtId="0" fontId="0" fillId="0" borderId="11" xfId="0" applyBorder="1"/>
    <xf numFmtId="0" fontId="0" fillId="0" borderId="12" xfId="0" applyBorder="1"/>
    <xf numFmtId="0" fontId="1" fillId="0" borderId="10" xfId="0" applyFont="1" applyBorder="1"/>
    <xf numFmtId="0" fontId="2" fillId="3" borderId="1" xfId="0" applyFont="1" applyFill="1" applyBorder="1"/>
    <xf numFmtId="3" fontId="0" fillId="0" borderId="0" xfId="0" applyNumberFormat="1" applyAlignment="1">
      <alignment horizontal="left"/>
    </xf>
    <xf numFmtId="0" fontId="2" fillId="3" borderId="1" xfId="0" applyFont="1" applyFill="1" applyBorder="1" applyAlignment="1">
      <alignment horizontal="center"/>
    </xf>
    <xf numFmtId="0" fontId="1" fillId="0" borderId="4" xfId="0" applyFont="1" applyBorder="1" applyAlignment="1">
      <alignment horizontal="center"/>
    </xf>
    <xf numFmtId="0" fontId="2" fillId="3" borderId="0" xfId="0" applyFont="1" applyFill="1" applyAlignment="1">
      <alignment horizontal="center" vertical="center" wrapText="1"/>
    </xf>
    <xf numFmtId="0" fontId="1" fillId="0" borderId="0" xfId="0" applyFont="1" applyAlignment="1">
      <alignment horizontal="left" vertical="center" wrapText="1"/>
    </xf>
    <xf numFmtId="6" fontId="1" fillId="7" borderId="2" xfId="0" applyNumberFormat="1" applyFont="1" applyFill="1" applyBorder="1"/>
    <xf numFmtId="0" fontId="0" fillId="0" borderId="0" xfId="0" applyAlignment="1">
      <alignment horizontal="left" vertical="top" wrapText="1"/>
    </xf>
    <xf numFmtId="0" fontId="0" fillId="0" borderId="2" xfId="0" applyBorder="1" applyAlignment="1">
      <alignment vertical="center"/>
    </xf>
    <xf numFmtId="0" fontId="1" fillId="7" borderId="3" xfId="0" applyFont="1" applyFill="1" applyBorder="1"/>
    <xf numFmtId="6" fontId="1" fillId="7" borderId="4" xfId="0" applyNumberFormat="1" applyFont="1" applyFill="1" applyBorder="1"/>
    <xf numFmtId="6" fontId="1" fillId="7" borderId="5" xfId="0" applyNumberFormat="1" applyFont="1" applyFill="1" applyBorder="1"/>
    <xf numFmtId="0" fontId="11" fillId="0" borderId="1" xfId="0" applyFont="1" applyBorder="1" applyAlignment="1">
      <alignment vertical="center"/>
    </xf>
    <xf numFmtId="0" fontId="11" fillId="0" borderId="1" xfId="0" applyFont="1" applyBorder="1" applyAlignment="1">
      <alignment vertical="center" wrapText="1"/>
    </xf>
    <xf numFmtId="8" fontId="0" fillId="0" borderId="2" xfId="0" applyNumberFormat="1" applyBorder="1" applyAlignment="1">
      <alignment vertical="center"/>
    </xf>
    <xf numFmtId="0" fontId="0" fillId="4" borderId="20" xfId="0" applyFill="1" applyBorder="1"/>
    <xf numFmtId="0" fontId="5" fillId="0" borderId="0" xfId="1"/>
    <xf numFmtId="0" fontId="0" fillId="0" borderId="0" xfId="0" applyAlignment="1">
      <alignment horizontal="center" vertical="center" wrapText="1"/>
    </xf>
    <xf numFmtId="0" fontId="0" fillId="0" borderId="0" xfId="0" applyAlignment="1">
      <alignment vertical="top"/>
    </xf>
    <xf numFmtId="0" fontId="0" fillId="0" borderId="1" xfId="0" applyBorder="1" applyAlignment="1">
      <alignment vertical="top"/>
    </xf>
    <xf numFmtId="3" fontId="0" fillId="0" borderId="1" xfId="0" applyNumberFormat="1" applyBorder="1" applyAlignment="1">
      <alignment vertical="top"/>
    </xf>
    <xf numFmtId="166" fontId="0" fillId="0" borderId="1" xfId="0" applyNumberFormat="1" applyBorder="1" applyAlignment="1">
      <alignment vertical="top"/>
    </xf>
    <xf numFmtId="0" fontId="12" fillId="0" borderId="0" xfId="1" applyFont="1"/>
    <xf numFmtId="9" fontId="0" fillId="0" borderId="0" xfId="0" applyNumberFormat="1" applyAlignment="1">
      <alignment horizontal="center"/>
    </xf>
    <xf numFmtId="3" fontId="1" fillId="0" borderId="5" xfId="0" applyNumberFormat="1" applyFont="1" applyBorder="1" applyAlignment="1">
      <alignment horizontal="center"/>
    </xf>
    <xf numFmtId="3" fontId="0" fillId="0" borderId="0" xfId="0" applyNumberFormat="1" applyAlignment="1">
      <alignment vertical="top"/>
    </xf>
    <xf numFmtId="0" fontId="0" fillId="0" borderId="2" xfId="0" applyBorder="1" applyAlignment="1">
      <alignment vertical="top"/>
    </xf>
    <xf numFmtId="3" fontId="0" fillId="0" borderId="2" xfId="0" applyNumberFormat="1" applyBorder="1" applyAlignment="1">
      <alignment vertical="top"/>
    </xf>
    <xf numFmtId="0" fontId="1" fillId="0" borderId="3" xfId="0" applyFont="1" applyBorder="1" applyAlignment="1">
      <alignment vertical="top"/>
    </xf>
    <xf numFmtId="3" fontId="1" fillId="0" borderId="5" xfId="0" applyNumberFormat="1" applyFont="1" applyBorder="1" applyAlignment="1">
      <alignment vertical="top"/>
    </xf>
    <xf numFmtId="0" fontId="13" fillId="0" borderId="1" xfId="0" applyFont="1" applyBorder="1" applyAlignment="1">
      <alignment vertical="top"/>
    </xf>
    <xf numFmtId="3" fontId="13" fillId="0" borderId="1" xfId="0" applyNumberFormat="1" applyFont="1" applyBorder="1" applyAlignment="1">
      <alignment vertical="top"/>
    </xf>
    <xf numFmtId="0" fontId="0" fillId="0" borderId="0" xfId="0" applyAlignment="1">
      <alignment vertical="center" wrapText="1"/>
    </xf>
    <xf numFmtId="3" fontId="1" fillId="0" borderId="4" xfId="0" applyNumberFormat="1" applyFont="1" applyBorder="1" applyAlignment="1">
      <alignment vertical="top"/>
    </xf>
    <xf numFmtId="3" fontId="1" fillId="0" borderId="0" xfId="0" applyNumberFormat="1" applyFont="1" applyAlignment="1">
      <alignment vertical="top"/>
    </xf>
    <xf numFmtId="3" fontId="0" fillId="0" borderId="18" xfId="0" applyNumberFormat="1" applyBorder="1" applyAlignment="1">
      <alignment vertical="top"/>
    </xf>
    <xf numFmtId="3" fontId="0" fillId="0" borderId="22" xfId="0" applyNumberFormat="1" applyBorder="1" applyAlignment="1">
      <alignment vertical="top"/>
    </xf>
    <xf numFmtId="3" fontId="1" fillId="0" borderId="23" xfId="0" applyNumberFormat="1" applyFont="1" applyBorder="1" applyAlignment="1">
      <alignment vertical="top"/>
    </xf>
    <xf numFmtId="3" fontId="1" fillId="0" borderId="24" xfId="0" applyNumberFormat="1" applyFont="1" applyBorder="1" applyAlignment="1">
      <alignment vertical="top"/>
    </xf>
    <xf numFmtId="3" fontId="1" fillId="0" borderId="25" xfId="0" applyNumberFormat="1" applyFont="1" applyBorder="1" applyAlignment="1">
      <alignment vertical="top"/>
    </xf>
    <xf numFmtId="3" fontId="1" fillId="0" borderId="20" xfId="0" applyNumberFormat="1" applyFont="1" applyBorder="1" applyAlignment="1">
      <alignment vertical="top"/>
    </xf>
    <xf numFmtId="0" fontId="14" fillId="0" borderId="1" xfId="0" applyFont="1" applyBorder="1" applyAlignment="1">
      <alignment vertical="top"/>
    </xf>
    <xf numFmtId="0" fontId="14" fillId="0" borderId="0" xfId="0" applyFont="1" applyAlignment="1">
      <alignment vertical="top"/>
    </xf>
    <xf numFmtId="0" fontId="14" fillId="0" borderId="0" xfId="0" applyFont="1" applyAlignment="1">
      <alignment horizontal="center" vertical="top"/>
    </xf>
    <xf numFmtId="3" fontId="1" fillId="0" borderId="19" xfId="0" applyNumberFormat="1" applyFont="1" applyBorder="1" applyAlignment="1">
      <alignment vertical="top"/>
    </xf>
    <xf numFmtId="0" fontId="1" fillId="0" borderId="0" xfId="0" applyFont="1" applyAlignment="1">
      <alignment vertical="top"/>
    </xf>
    <xf numFmtId="166" fontId="0" fillId="0" borderId="2" xfId="0" applyNumberFormat="1" applyBorder="1" applyAlignment="1">
      <alignment vertical="top"/>
    </xf>
    <xf numFmtId="0" fontId="1" fillId="0" borderId="26" xfId="0" applyFont="1" applyBorder="1" applyAlignment="1">
      <alignment vertical="top"/>
    </xf>
    <xf numFmtId="3" fontId="1" fillId="0" borderId="27" xfId="0" applyNumberFormat="1" applyFont="1" applyBorder="1" applyAlignment="1">
      <alignment vertical="top"/>
    </xf>
    <xf numFmtId="0" fontId="1" fillId="0" borderId="28" xfId="0" applyFont="1" applyBorder="1" applyAlignment="1">
      <alignment vertical="top"/>
    </xf>
    <xf numFmtId="3" fontId="1" fillId="0" borderId="29" xfId="0" applyNumberFormat="1" applyFont="1" applyBorder="1" applyAlignment="1">
      <alignment vertical="top"/>
    </xf>
    <xf numFmtId="0" fontId="1" fillId="0" borderId="30" xfId="0" applyFont="1" applyBorder="1" applyAlignment="1">
      <alignment vertical="top"/>
    </xf>
    <xf numFmtId="166" fontId="1" fillId="0" borderId="31" xfId="0" applyNumberFormat="1" applyFont="1" applyBorder="1" applyAlignment="1">
      <alignment vertical="top"/>
    </xf>
    <xf numFmtId="0" fontId="14" fillId="10" borderId="1" xfId="0" applyFont="1" applyFill="1" applyBorder="1" applyAlignment="1">
      <alignment vertical="center" wrapText="1"/>
    </xf>
    <xf numFmtId="0" fontId="3" fillId="10" borderId="1" xfId="0" applyFont="1" applyFill="1" applyBorder="1"/>
    <xf numFmtId="0" fontId="14" fillId="10" borderId="1" xfId="0" applyFont="1" applyFill="1" applyBorder="1"/>
    <xf numFmtId="0" fontId="14" fillId="10" borderId="1" xfId="0" applyFont="1" applyFill="1" applyBorder="1" applyAlignment="1">
      <alignment horizontal="center"/>
    </xf>
    <xf numFmtId="0" fontId="1" fillId="0" borderId="0" xfId="0" applyFont="1" applyAlignment="1">
      <alignment horizontal="centerContinuous"/>
    </xf>
    <xf numFmtId="0" fontId="0" fillId="0" borderId="0" xfId="0" applyAlignment="1">
      <alignment horizontal="centerContinuous"/>
    </xf>
    <xf numFmtId="0" fontId="2" fillId="0" borderId="0" xfId="0" applyFont="1" applyAlignment="1">
      <alignment wrapText="1"/>
    </xf>
    <xf numFmtId="0" fontId="0" fillId="0" borderId="1" xfId="0" applyBorder="1" applyAlignment="1">
      <alignment horizontal="center"/>
    </xf>
    <xf numFmtId="0" fontId="0" fillId="10" borderId="0" xfId="0" applyFill="1"/>
    <xf numFmtId="0" fontId="1" fillId="0" borderId="32" xfId="0" applyFont="1" applyBorder="1"/>
    <xf numFmtId="0" fontId="1" fillId="0" borderId="21" xfId="0" applyFont="1" applyBorder="1" applyAlignment="1">
      <alignment horizontal="left"/>
    </xf>
    <xf numFmtId="0" fontId="0" fillId="4" borderId="21" xfId="0" applyFill="1" applyBorder="1" applyAlignment="1">
      <alignment horizontal="left"/>
    </xf>
    <xf numFmtId="0" fontId="14" fillId="10" borderId="1" xfId="0" applyFont="1" applyFill="1" applyBorder="1" applyAlignment="1">
      <alignment horizontal="left" vertical="center" wrapText="1"/>
    </xf>
    <xf numFmtId="0" fontId="11" fillId="0" borderId="1" xfId="0" applyFont="1" applyBorder="1" applyAlignment="1">
      <alignment horizontal="left" vertical="center"/>
    </xf>
    <xf numFmtId="0" fontId="0" fillId="0" borderId="1" xfId="0" applyBorder="1" applyAlignment="1">
      <alignment horizontal="left"/>
    </xf>
    <xf numFmtId="0" fontId="7" fillId="2" borderId="0" xfId="0" applyFont="1" applyFill="1" applyAlignment="1">
      <alignment horizontal="centerContinuous" vertical="center"/>
    </xf>
    <xf numFmtId="3" fontId="0" fillId="4" borderId="1" xfId="0" applyNumberFormat="1" applyFill="1" applyBorder="1" applyProtection="1">
      <protection locked="0"/>
    </xf>
    <xf numFmtId="0" fontId="0" fillId="4" borderId="1" xfId="0" applyFill="1" applyBorder="1" applyProtection="1">
      <protection locked="0"/>
    </xf>
    <xf numFmtId="3" fontId="0" fillId="4" borderId="1" xfId="0" applyNumberFormat="1" applyFill="1" applyBorder="1" applyAlignment="1" applyProtection="1">
      <alignment vertical="top"/>
      <protection locked="0"/>
    </xf>
    <xf numFmtId="3" fontId="0" fillId="4" borderId="1" xfId="0" applyNumberFormat="1" applyFill="1" applyBorder="1" applyAlignment="1" applyProtection="1">
      <alignment horizontal="center"/>
      <protection locked="0"/>
    </xf>
    <xf numFmtId="8" fontId="0" fillId="4" borderId="1" xfId="0" applyNumberFormat="1" applyFill="1" applyBorder="1" applyAlignment="1" applyProtection="1">
      <alignment horizontal="center"/>
      <protection locked="0"/>
    </xf>
    <xf numFmtId="6" fontId="0" fillId="4" borderId="1" xfId="0" applyNumberFormat="1" applyFill="1" applyBorder="1" applyAlignment="1" applyProtection="1">
      <alignment horizontal="center"/>
      <protection locked="0"/>
    </xf>
    <xf numFmtId="0" fontId="0" fillId="4" borderId="1" xfId="0" applyFill="1" applyBorder="1" applyAlignment="1" applyProtection="1">
      <alignment horizontal="left"/>
      <protection locked="0"/>
    </xf>
    <xf numFmtId="9" fontId="11" fillId="4" borderId="1" xfId="0" applyNumberFormat="1" applyFont="1" applyFill="1" applyBorder="1" applyAlignment="1" applyProtection="1">
      <alignment horizontal="center"/>
      <protection locked="0"/>
    </xf>
    <xf numFmtId="0" fontId="11" fillId="4" borderId="1" xfId="0" applyFont="1" applyFill="1" applyBorder="1" applyAlignment="1" applyProtection="1">
      <alignment vertical="center"/>
      <protection locked="0"/>
    </xf>
    <xf numFmtId="3" fontId="11" fillId="4" borderId="1" xfId="0" applyNumberFormat="1" applyFont="1" applyFill="1" applyBorder="1" applyProtection="1">
      <protection locked="0"/>
    </xf>
    <xf numFmtId="8" fontId="11" fillId="4" borderId="1" xfId="0" applyNumberFormat="1" applyFont="1" applyFill="1" applyBorder="1" applyProtection="1">
      <protection locked="0"/>
    </xf>
    <xf numFmtId="6" fontId="11" fillId="4" borderId="1" xfId="0" applyNumberFormat="1" applyFont="1" applyFill="1" applyBorder="1" applyProtection="1">
      <protection locked="0"/>
    </xf>
    <xf numFmtId="0" fontId="11" fillId="4" borderId="1" xfId="0" applyFont="1" applyFill="1" applyBorder="1" applyAlignment="1" applyProtection="1">
      <alignment horizontal="left" vertical="center"/>
      <protection locked="0"/>
    </xf>
    <xf numFmtId="0" fontId="0" fillId="0" borderId="1" xfId="0" applyBorder="1" applyProtection="1">
      <protection locked="0"/>
    </xf>
    <xf numFmtId="0" fontId="0" fillId="0" borderId="0" xfId="0" applyProtection="1">
      <protection locked="0"/>
    </xf>
    <xf numFmtId="0" fontId="1" fillId="0" borderId="0" xfId="0" applyFont="1" applyProtection="1">
      <protection locked="0"/>
    </xf>
    <xf numFmtId="0" fontId="2" fillId="9" borderId="10" xfId="1" quotePrefix="1" applyFont="1" applyFill="1" applyBorder="1" applyAlignment="1">
      <alignment horizontal="center" vertical="center" wrapText="1"/>
    </xf>
    <xf numFmtId="0" fontId="2" fillId="9" borderId="12" xfId="1" quotePrefix="1" applyFont="1" applyFill="1" applyBorder="1" applyAlignment="1">
      <alignment horizontal="center" vertical="center" wrapText="1"/>
    </xf>
    <xf numFmtId="0" fontId="2" fillId="9" borderId="15" xfId="1" quotePrefix="1" applyFont="1" applyFill="1" applyBorder="1" applyAlignment="1">
      <alignment horizontal="center" vertical="center" wrapText="1"/>
    </xf>
    <xf numFmtId="0" fontId="2" fillId="9" borderId="17" xfId="1" quotePrefix="1" applyFont="1" applyFill="1"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2" fillId="2" borderId="10" xfId="1" quotePrefix="1" applyFont="1" applyFill="1" applyBorder="1" applyAlignment="1">
      <alignment horizontal="center" vertical="center" wrapText="1"/>
    </xf>
    <xf numFmtId="0" fontId="2" fillId="2" borderId="12" xfId="1" quotePrefix="1" applyFont="1" applyFill="1" applyBorder="1" applyAlignment="1">
      <alignment horizontal="center" vertical="center" wrapText="1"/>
    </xf>
    <xf numFmtId="0" fontId="2" fillId="2" borderId="15" xfId="1" quotePrefix="1" applyFont="1" applyFill="1" applyBorder="1" applyAlignment="1">
      <alignment horizontal="center" vertical="center" wrapText="1"/>
    </xf>
    <xf numFmtId="0" fontId="2" fillId="2" borderId="17" xfId="1" quotePrefix="1" applyFont="1" applyFill="1" applyBorder="1" applyAlignment="1">
      <alignment horizontal="center" vertical="center" wrapText="1"/>
    </xf>
    <xf numFmtId="0" fontId="2" fillId="5" borderId="10" xfId="1" quotePrefix="1" applyFont="1" applyFill="1" applyBorder="1" applyAlignment="1">
      <alignment horizontal="center" vertical="center" wrapText="1"/>
    </xf>
    <xf numFmtId="0" fontId="2" fillId="5" borderId="12" xfId="1" quotePrefix="1" applyFont="1" applyFill="1" applyBorder="1" applyAlignment="1">
      <alignment horizontal="center" vertical="center" wrapText="1"/>
    </xf>
    <xf numFmtId="0" fontId="2" fillId="5" borderId="15" xfId="1" quotePrefix="1" applyFont="1" applyFill="1" applyBorder="1" applyAlignment="1">
      <alignment horizontal="center" vertical="center" wrapText="1"/>
    </xf>
    <xf numFmtId="0" fontId="2" fillId="5" borderId="17" xfId="1" quotePrefix="1" applyFont="1" applyFill="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cellXfs>
  <cellStyles count="5">
    <cellStyle name="Hyperlink" xfId="1" builtinId="8"/>
    <cellStyle name="Normal 2" xfId="2" xr:uid="{C571EDA6-35F7-41F0-A358-B16EA36B98F3}"/>
    <cellStyle name="Normal 3" xfId="3" xr:uid="{76BA4E2D-36C8-43F8-8B99-30646935383A}"/>
    <cellStyle name="Standaard" xfId="0" builtinId="0"/>
    <cellStyle name="Standaard 3 3" xfId="4" xr:uid="{16F99C0B-6941-4791-A59E-3BE0C1318743}"/>
  </cellStyles>
  <dxfs count="2">
    <dxf>
      <fill>
        <patternFill>
          <bgColor rgb="FFFF7C80"/>
        </patternFill>
      </fill>
    </dxf>
    <dxf>
      <fill>
        <patternFill>
          <bgColor rgb="FFFF9999"/>
        </patternFill>
      </fill>
    </dxf>
  </dxfs>
  <tableStyles count="0" defaultTableStyle="TableStyleMedium9"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nl-NL"/>
              <a:t>Overzicht van</a:t>
            </a:r>
            <a:r>
              <a:rPr lang="nl-NL" baseline="0"/>
              <a:t> momenten van overdracht 1e naar 2e lijn </a:t>
            </a:r>
            <a:br>
              <a:rPr lang="nl-NL" baseline="0"/>
            </a:br>
            <a:r>
              <a:rPr lang="nl-NL" baseline="0"/>
              <a:t>[aantallen heel Nederland]</a:t>
            </a:r>
            <a:endParaRPr lang="nl-NL"/>
          </a:p>
        </c:rich>
      </c:tx>
      <c:overlay val="0"/>
    </c:title>
    <c:autoTitleDeleted val="0"/>
    <c:plotArea>
      <c:layout>
        <c:manualLayout>
          <c:layoutTarget val="inner"/>
          <c:xMode val="edge"/>
          <c:yMode val="edge"/>
          <c:x val="0.4369998259499196"/>
          <c:y val="0.17038187993464204"/>
          <c:w val="0.55324212598425204"/>
          <c:h val="0.81779655469416079"/>
        </c:manualLayout>
      </c:layout>
      <c:barChart>
        <c:barDir val="bar"/>
        <c:grouping val="stacked"/>
        <c:varyColors val="0"/>
        <c:ser>
          <c:idx val="0"/>
          <c:order val="0"/>
          <c:tx>
            <c:strRef>
              <c:f>Regiokenmerken!$M$61</c:f>
              <c:strCache>
                <c:ptCount val="1"/>
                <c:pt idx="0">
                  <c:v>blauw</c:v>
                </c:pt>
              </c:strCache>
            </c:strRef>
          </c:tx>
          <c:spPr>
            <a:solidFill>
              <a:schemeClr val="accent1"/>
            </a:solidFill>
            <a:ln>
              <a:noFill/>
            </a:ln>
            <a:effectLst/>
          </c:spPr>
          <c:invertIfNegative val="0"/>
          <c:dLbls>
            <c:spPr>
              <a:noFill/>
              <a:ln>
                <a:noFill/>
              </a:ln>
              <a:effectLst/>
            </c:spPr>
            <c:txPr>
              <a:bodyPr/>
              <a:lstStyle/>
              <a:p>
                <a:pPr>
                  <a:defRPr sz="1000">
                    <a:solidFill>
                      <a:schemeClr val="bg1"/>
                    </a:solidFil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Regiokenmerken!$K$62:$K$68</c:f>
              <c:strCache>
                <c:ptCount val="7"/>
                <c:pt idx="0">
                  <c:v>Begeleiding zwangerschap door 1e lijn</c:v>
                </c:pt>
                <c:pt idx="1">
                  <c:v>Overdracht naar 2e lijn ante partum</c:v>
                </c:pt>
                <c:pt idx="2">
                  <c:v>Overdracht naar 2e lijn durante partum</c:v>
                </c:pt>
                <c:pt idx="3">
                  <c:v>Overdracht naar 2e lijn onduidelijk</c:v>
                </c:pt>
                <c:pt idx="4">
                  <c:v>Partus in 1e lijn</c:v>
                </c:pt>
                <c:pt idx="5">
                  <c:v>Overdracht naar 2e lijn post partum</c:v>
                </c:pt>
                <c:pt idx="6">
                  <c:v>Volledig in 1e lijn</c:v>
                </c:pt>
              </c:strCache>
            </c:strRef>
          </c:cat>
          <c:val>
            <c:numRef>
              <c:f>Regiokenmerken!$M$62:$M$68</c:f>
              <c:numCache>
                <c:formatCode>General</c:formatCode>
                <c:ptCount val="7"/>
                <c:pt idx="0" formatCode="#,##0">
                  <c:v>0</c:v>
                </c:pt>
                <c:pt idx="4" formatCode="#,##0">
                  <c:v>0</c:v>
                </c:pt>
                <c:pt idx="6" formatCode="#,##0">
                  <c:v>0</c:v>
                </c:pt>
              </c:numCache>
            </c:numRef>
          </c:val>
          <c:extLst>
            <c:ext xmlns:c16="http://schemas.microsoft.com/office/drawing/2014/chart" uri="{C3380CC4-5D6E-409C-BE32-E72D297353CC}">
              <c16:uniqueId val="{00000000-7D55-4E2D-97A9-B653D9AC801D}"/>
            </c:ext>
          </c:extLst>
        </c:ser>
        <c:ser>
          <c:idx val="1"/>
          <c:order val="1"/>
          <c:tx>
            <c:strRef>
              <c:f>Regiokenmerken!$N$61</c:f>
              <c:strCache>
                <c:ptCount val="1"/>
                <c:pt idx="0">
                  <c:v>wit</c:v>
                </c:pt>
              </c:strCache>
            </c:strRef>
          </c:tx>
          <c:spPr>
            <a:solidFill>
              <a:sysClr val="window" lastClr="FFFFFF"/>
            </a:solidFill>
            <a:ln>
              <a:noFill/>
            </a:ln>
            <a:effectLst/>
          </c:spPr>
          <c:invertIfNegative val="0"/>
          <c:cat>
            <c:strRef>
              <c:f>Regiokenmerken!$K$62:$K$68</c:f>
              <c:strCache>
                <c:ptCount val="7"/>
                <c:pt idx="0">
                  <c:v>Begeleiding zwangerschap door 1e lijn</c:v>
                </c:pt>
                <c:pt idx="1">
                  <c:v>Overdracht naar 2e lijn ante partum</c:v>
                </c:pt>
                <c:pt idx="2">
                  <c:v>Overdracht naar 2e lijn durante partum</c:v>
                </c:pt>
                <c:pt idx="3">
                  <c:v>Overdracht naar 2e lijn onduidelijk</c:v>
                </c:pt>
                <c:pt idx="4">
                  <c:v>Partus in 1e lijn</c:v>
                </c:pt>
                <c:pt idx="5">
                  <c:v>Overdracht naar 2e lijn post partum</c:v>
                </c:pt>
                <c:pt idx="6">
                  <c:v>Volledig in 1e lijn</c:v>
                </c:pt>
              </c:strCache>
            </c:strRef>
          </c:cat>
          <c:val>
            <c:numRef>
              <c:f>Regiokenmerken!$N$62:$N$68</c:f>
              <c:numCache>
                <c:formatCode>#,##0</c:formatCode>
                <c:ptCount val="7"/>
                <c:pt idx="0" formatCode="General">
                  <c:v>0</c:v>
                </c:pt>
                <c:pt idx="1">
                  <c:v>0</c:v>
                </c:pt>
                <c:pt idx="2">
                  <c:v>0</c:v>
                </c:pt>
                <c:pt idx="3">
                  <c:v>0</c:v>
                </c:pt>
                <c:pt idx="4" formatCode="General">
                  <c:v>0</c:v>
                </c:pt>
                <c:pt idx="5">
                  <c:v>0</c:v>
                </c:pt>
                <c:pt idx="6" formatCode="General">
                  <c:v>0</c:v>
                </c:pt>
              </c:numCache>
            </c:numRef>
          </c:val>
          <c:extLst>
            <c:ext xmlns:c16="http://schemas.microsoft.com/office/drawing/2014/chart" uri="{C3380CC4-5D6E-409C-BE32-E72D297353CC}">
              <c16:uniqueId val="{0000000B-DCBA-4FF1-8548-0575763D5FA3}"/>
            </c:ext>
          </c:extLst>
        </c:ser>
        <c:ser>
          <c:idx val="2"/>
          <c:order val="2"/>
          <c:tx>
            <c:strRef>
              <c:f>Regiokenmerken!$O$61</c:f>
              <c:strCache>
                <c:ptCount val="1"/>
                <c:pt idx="0">
                  <c:v>groen</c:v>
                </c:pt>
              </c:strCache>
            </c:strRef>
          </c:tx>
          <c:spPr>
            <a:solidFill>
              <a:srgbClr val="1AB589"/>
            </a:solidFill>
            <a:ln>
              <a:noFill/>
            </a:ln>
            <a:effectLst/>
          </c:spPr>
          <c:invertIfNegative val="0"/>
          <c:dLbls>
            <c:spPr>
              <a:noFill/>
              <a:ln>
                <a:noFill/>
              </a:ln>
              <a:effectLst/>
            </c:spPr>
            <c:txPr>
              <a:bodyPr wrap="square" lIns="38100" tIns="19050" rIns="38100" bIns="19050" anchor="ctr">
                <a:spAutoFit/>
              </a:bodyPr>
              <a:lstStyle/>
              <a:p>
                <a:pPr>
                  <a:defRPr sz="1000"/>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Regiokenmerken!$K$62:$K$68</c:f>
              <c:strCache>
                <c:ptCount val="7"/>
                <c:pt idx="0">
                  <c:v>Begeleiding zwangerschap door 1e lijn</c:v>
                </c:pt>
                <c:pt idx="1">
                  <c:v>Overdracht naar 2e lijn ante partum</c:v>
                </c:pt>
                <c:pt idx="2">
                  <c:v>Overdracht naar 2e lijn durante partum</c:v>
                </c:pt>
                <c:pt idx="3">
                  <c:v>Overdracht naar 2e lijn onduidelijk</c:v>
                </c:pt>
                <c:pt idx="4">
                  <c:v>Partus in 1e lijn</c:v>
                </c:pt>
                <c:pt idx="5">
                  <c:v>Overdracht naar 2e lijn post partum</c:v>
                </c:pt>
                <c:pt idx="6">
                  <c:v>Volledig in 1e lijn</c:v>
                </c:pt>
              </c:strCache>
            </c:strRef>
          </c:cat>
          <c:val>
            <c:numRef>
              <c:f>Regiokenmerken!$O$62:$O$68</c:f>
              <c:numCache>
                <c:formatCode>#,##0</c:formatCode>
                <c:ptCount val="7"/>
                <c:pt idx="1">
                  <c:v>0</c:v>
                </c:pt>
                <c:pt idx="2">
                  <c:v>0</c:v>
                </c:pt>
                <c:pt idx="3">
                  <c:v>0</c:v>
                </c:pt>
                <c:pt idx="5">
                  <c:v>0</c:v>
                </c:pt>
              </c:numCache>
            </c:numRef>
          </c:val>
          <c:extLst>
            <c:ext xmlns:c16="http://schemas.microsoft.com/office/drawing/2014/chart" uri="{C3380CC4-5D6E-409C-BE32-E72D297353CC}">
              <c16:uniqueId val="{0000000C-DCBA-4FF1-8548-0575763D5FA3}"/>
            </c:ext>
          </c:extLst>
        </c:ser>
        <c:dLbls>
          <c:showLegendKey val="0"/>
          <c:showVal val="0"/>
          <c:showCatName val="0"/>
          <c:showSerName val="0"/>
          <c:showPercent val="0"/>
          <c:showBubbleSize val="0"/>
        </c:dLbls>
        <c:gapWidth val="75"/>
        <c:overlap val="100"/>
        <c:axId val="472293432"/>
        <c:axId val="472291792"/>
      </c:barChart>
      <c:catAx>
        <c:axId val="472293432"/>
        <c:scaling>
          <c:orientation val="maxMin"/>
        </c:scaling>
        <c:delete val="0"/>
        <c:axPos val="l"/>
        <c:numFmt formatCode="General" sourceLinked="1"/>
        <c:majorTickMark val="none"/>
        <c:minorTickMark val="none"/>
        <c:tickLblPos val="nextTo"/>
        <c:spPr>
          <a:noFill/>
          <a:effectLst/>
        </c:spPr>
        <c:txPr>
          <a:bodyPr rot="-60000000" vert="horz"/>
          <a:lstStyle/>
          <a:p>
            <a:pPr>
              <a:defRPr sz="1000"/>
            </a:pPr>
            <a:endParaRPr lang="nl-NL"/>
          </a:p>
        </c:txPr>
        <c:crossAx val="472291792"/>
        <c:crosses val="autoZero"/>
        <c:auto val="1"/>
        <c:lblAlgn val="ctr"/>
        <c:lblOffset val="100"/>
        <c:noMultiLvlLbl val="0"/>
      </c:catAx>
      <c:valAx>
        <c:axId val="472291792"/>
        <c:scaling>
          <c:orientation val="minMax"/>
        </c:scaling>
        <c:delete val="1"/>
        <c:axPos val="t"/>
        <c:majorGridlines>
          <c:spPr>
            <a:ln w="9525" cap="flat" cmpd="sng" algn="ctr">
              <a:noFill/>
              <a:round/>
            </a:ln>
            <a:effectLst/>
          </c:spPr>
        </c:majorGridlines>
        <c:numFmt formatCode="#,##0" sourceLinked="1"/>
        <c:majorTickMark val="none"/>
        <c:minorTickMark val="none"/>
        <c:tickLblPos val="nextTo"/>
        <c:crossAx val="47229343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 lastClr="FFFFFF">
          <a:lumMod val="75000"/>
        </a:sysClr>
      </a:solidFill>
      <a:round/>
    </a:ln>
    <a:effectLst>
      <a:outerShdw blurRad="50800" dist="38100" dir="2700000" algn="tl" rotWithShape="0">
        <a:prstClr val="black">
          <a:alpha val="40000"/>
        </a:prstClr>
      </a:outerShdw>
    </a:effectLst>
  </c:spPr>
  <c:txPr>
    <a:bodyPr/>
    <a:lstStyle/>
    <a:p>
      <a:pPr>
        <a:defRPr sz="1200" b="0">
          <a:solidFill>
            <a:srgbClr val="000000"/>
          </a:solidFill>
        </a:defRPr>
      </a:pPr>
      <a:endParaRPr lang="nl-NL"/>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nl-NL"/>
              <a:t>Omzet per eerstelijns</a:t>
            </a:r>
            <a:r>
              <a:rPr lang="nl-NL" baseline="0"/>
              <a:t>verloskundigenpraktijk </a:t>
            </a:r>
            <a:br>
              <a:rPr lang="nl-NL" baseline="0"/>
            </a:br>
            <a:r>
              <a:rPr lang="nl-NL"/>
              <a:t>[Euro x 1.000]</a:t>
            </a:r>
          </a:p>
        </c:rich>
      </c:tx>
      <c:overlay val="0"/>
    </c:title>
    <c:autoTitleDeleted val="0"/>
    <c:plotArea>
      <c:layout>
        <c:manualLayout>
          <c:layoutTarget val="inner"/>
          <c:xMode val="edge"/>
          <c:yMode val="edge"/>
          <c:x val="0.33572026143790851"/>
          <c:y val="0.11171529070970412"/>
          <c:w val="0.66282225016015517"/>
          <c:h val="0.86907185923318697"/>
        </c:manualLayout>
      </c:layout>
      <c:barChart>
        <c:barDir val="bar"/>
        <c:grouping val="stacked"/>
        <c:varyColors val="0"/>
        <c:ser>
          <c:idx val="0"/>
          <c:order val="0"/>
          <c:tx>
            <c:strRef>
              <c:f>'Uitkomsten verdeling'!$O$37</c:f>
              <c:strCache>
                <c:ptCount val="1"/>
                <c:pt idx="0">
                  <c:v>Omzet zorgaanbieder</c:v>
                </c:pt>
              </c:strCache>
            </c:strRef>
          </c:tx>
          <c:spPr>
            <a:solidFill>
              <a:schemeClr val="accent1"/>
            </a:solidFill>
            <a:ln>
              <a:noFill/>
            </a:ln>
            <a:effectLst/>
          </c:spPr>
          <c:invertIfNegative val="0"/>
          <c:dLbls>
            <c:dLbl>
              <c:idx val="0"/>
              <c:tx>
                <c:rich>
                  <a:bodyPr/>
                  <a:lstStyle/>
                  <a:p>
                    <a:fld id="{502D6FD5-EFE8-4B13-A477-55F1870EBD7E}" type="CELLRANGE">
                      <a:rPr lang="nl-NL"/>
                      <a:pPr/>
                      <a:t>[CELLRANGE]</a:t>
                    </a:fld>
                    <a:r>
                      <a:rPr lang="nl-NL" baseline="0"/>
                      <a:t>; </a:t>
                    </a:r>
                    <a:fld id="{8402D47D-7CC4-4F40-A297-8AA6303C2191}"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46B-46DE-9D2C-6434188CDC43}"/>
                </c:ext>
              </c:extLst>
            </c:dLbl>
            <c:dLbl>
              <c:idx val="1"/>
              <c:tx>
                <c:rich>
                  <a:bodyPr/>
                  <a:lstStyle/>
                  <a:p>
                    <a:fld id="{5D370153-A30C-4763-95E3-D8E70E450A65}" type="CELLRANGE">
                      <a:rPr lang="nl-NL"/>
                      <a:pPr/>
                      <a:t>[CELLRANGE]</a:t>
                    </a:fld>
                    <a:r>
                      <a:rPr lang="nl-NL" baseline="0"/>
                      <a:t>; </a:t>
                    </a:r>
                    <a:fld id="{F81C63C5-F401-47FD-85DC-014BBAC0AEBC}"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46B-46DE-9D2C-6434188CDC43}"/>
                </c:ext>
              </c:extLst>
            </c:dLbl>
            <c:dLbl>
              <c:idx val="2"/>
              <c:tx>
                <c:rich>
                  <a:bodyPr/>
                  <a:lstStyle/>
                  <a:p>
                    <a:fld id="{C70A8913-8F2D-4719-9EF9-0B867FF2ECB0}" type="CELLRANGE">
                      <a:rPr lang="nl-NL"/>
                      <a:pPr/>
                      <a:t>[CELLRANGE]</a:t>
                    </a:fld>
                    <a:r>
                      <a:rPr lang="nl-NL" baseline="0"/>
                      <a:t>; </a:t>
                    </a:r>
                    <a:fld id="{4F48302B-2E43-4772-BAEA-7FBA411F650A}"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46B-46DE-9D2C-6434188CDC43}"/>
                </c:ext>
              </c:extLst>
            </c:dLbl>
            <c:dLbl>
              <c:idx val="3"/>
              <c:tx>
                <c:rich>
                  <a:bodyPr/>
                  <a:lstStyle/>
                  <a:p>
                    <a:fld id="{FA52A647-BD55-43F9-A09E-CAA074E91F40}" type="CELLRANGE">
                      <a:rPr lang="nl-NL"/>
                      <a:pPr/>
                      <a:t>[CELLRANGE]</a:t>
                    </a:fld>
                    <a:r>
                      <a:rPr lang="nl-NL" baseline="0"/>
                      <a:t>; </a:t>
                    </a:r>
                    <a:fld id="{5F0029E9-D503-420B-B959-4C87C6614A3A}"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46B-46DE-9D2C-6434188CDC43}"/>
                </c:ext>
              </c:extLst>
            </c:dLbl>
            <c:dLbl>
              <c:idx val="4"/>
              <c:tx>
                <c:rich>
                  <a:bodyPr/>
                  <a:lstStyle/>
                  <a:p>
                    <a:fld id="{2EDBA3B5-75B9-4356-99BB-DE9D47408B25}" type="CELLRANGE">
                      <a:rPr lang="nl-NL"/>
                      <a:pPr/>
                      <a:t>[CELLRANGE]</a:t>
                    </a:fld>
                    <a:r>
                      <a:rPr lang="nl-NL" baseline="0"/>
                      <a:t>; </a:t>
                    </a:r>
                    <a:fld id="{FD77BD3E-11FA-4853-9D52-0B63FB01DB13}"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46B-46DE-9D2C-6434188CDC43}"/>
                </c:ext>
              </c:extLst>
            </c:dLbl>
            <c:dLbl>
              <c:idx val="5"/>
              <c:tx>
                <c:rich>
                  <a:bodyPr/>
                  <a:lstStyle/>
                  <a:p>
                    <a:fld id="{198F2D4D-C009-41A7-B2FB-912A109BA753}" type="CELLRANGE">
                      <a:rPr lang="nl-NL"/>
                      <a:pPr/>
                      <a:t>[CELLRANGE]</a:t>
                    </a:fld>
                    <a:r>
                      <a:rPr lang="nl-NL" baseline="0"/>
                      <a:t>; </a:t>
                    </a:r>
                    <a:fld id="{3B153B31-5D2C-4D9C-B830-0A9743DE2011}"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46B-46DE-9D2C-6434188CDC43}"/>
                </c:ext>
              </c:extLst>
            </c:dLbl>
            <c:dLbl>
              <c:idx val="6"/>
              <c:tx>
                <c:rich>
                  <a:bodyPr/>
                  <a:lstStyle/>
                  <a:p>
                    <a:fld id="{B88EE960-F04B-448A-9768-E6DE37BFE84E}" type="CELLRANGE">
                      <a:rPr lang="nl-NL"/>
                      <a:pPr/>
                      <a:t>[CELLRANGE]</a:t>
                    </a:fld>
                    <a:r>
                      <a:rPr lang="nl-NL" baseline="0"/>
                      <a:t>; </a:t>
                    </a:r>
                    <a:fld id="{370E210F-F9A5-496E-8512-CB73336424A5}"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46B-46DE-9D2C-6434188CDC43}"/>
                </c:ext>
              </c:extLst>
            </c:dLbl>
            <c:dLbl>
              <c:idx val="7"/>
              <c:tx>
                <c:rich>
                  <a:bodyPr/>
                  <a:lstStyle/>
                  <a:p>
                    <a:fld id="{812168C5-C867-4334-841E-FBC6D164E45D}" type="CELLRANGE">
                      <a:rPr lang="nl-NL"/>
                      <a:pPr/>
                      <a:t>[CELLRANGE]</a:t>
                    </a:fld>
                    <a:r>
                      <a:rPr lang="nl-NL" baseline="0"/>
                      <a:t>; </a:t>
                    </a:r>
                    <a:fld id="{75459321-E316-45E8-B96E-37CA42CBAB2F}"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46B-46DE-9D2C-6434188CDC43}"/>
                </c:ext>
              </c:extLst>
            </c:dLbl>
            <c:dLbl>
              <c:idx val="8"/>
              <c:tx>
                <c:rich>
                  <a:bodyPr/>
                  <a:lstStyle/>
                  <a:p>
                    <a:fld id="{3B0BB03A-1CFC-4F48-97B8-037AD74E8FD7}" type="CELLRANGE">
                      <a:rPr lang="nl-NL"/>
                      <a:pPr/>
                      <a:t>[CELLRANGE]</a:t>
                    </a:fld>
                    <a:r>
                      <a:rPr lang="nl-NL" baseline="0"/>
                      <a:t>; </a:t>
                    </a:r>
                    <a:fld id="{91FEE8DF-037C-48B3-84A9-6DCC495D7DDF}"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46B-46DE-9D2C-6434188CDC43}"/>
                </c:ext>
              </c:extLst>
            </c:dLbl>
            <c:dLbl>
              <c:idx val="9"/>
              <c:tx>
                <c:rich>
                  <a:bodyPr/>
                  <a:lstStyle/>
                  <a:p>
                    <a:fld id="{5E5CB8FB-111B-4059-B883-D0574EE99447}" type="CELLRANGE">
                      <a:rPr lang="nl-NL"/>
                      <a:pPr/>
                      <a:t>[CELLRANGE]</a:t>
                    </a:fld>
                    <a:r>
                      <a:rPr lang="nl-NL" baseline="0"/>
                      <a:t>; </a:t>
                    </a:r>
                    <a:fld id="{4C2C8399-A24A-4D79-9CBA-300130D0779E}"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46B-46DE-9D2C-6434188CDC43}"/>
                </c:ext>
              </c:extLst>
            </c:dLbl>
            <c:dLbl>
              <c:idx val="10"/>
              <c:tx>
                <c:rich>
                  <a:bodyPr/>
                  <a:lstStyle/>
                  <a:p>
                    <a:fld id="{39426483-D514-493A-BBA6-F435A55D52CB}" type="CELLRANGE">
                      <a:rPr lang="nl-NL"/>
                      <a:pPr/>
                      <a:t>[CELLRANGE]</a:t>
                    </a:fld>
                    <a:r>
                      <a:rPr lang="nl-NL" baseline="0"/>
                      <a:t>; </a:t>
                    </a:r>
                    <a:fld id="{88996249-AEDA-4AED-8DA7-88DDED3B58DF}"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46B-46DE-9D2C-6434188CDC43}"/>
                </c:ext>
              </c:extLst>
            </c:dLbl>
            <c:dLbl>
              <c:idx val="11"/>
              <c:tx>
                <c:rich>
                  <a:bodyPr/>
                  <a:lstStyle/>
                  <a:p>
                    <a:fld id="{730FF882-4A6A-4690-835D-1D5C17A232D0}" type="CELLRANGE">
                      <a:rPr lang="nl-NL"/>
                      <a:pPr/>
                      <a:t>[CELLRANGE]</a:t>
                    </a:fld>
                    <a:r>
                      <a:rPr lang="nl-NL" baseline="0"/>
                      <a:t>; </a:t>
                    </a:r>
                    <a:fld id="{40973B45-2B34-40C7-A745-35AAB323892C}"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46B-46DE-9D2C-6434188CDC43}"/>
                </c:ext>
              </c:extLst>
            </c:dLbl>
            <c:dLbl>
              <c:idx val="12"/>
              <c:tx>
                <c:rich>
                  <a:bodyPr/>
                  <a:lstStyle/>
                  <a:p>
                    <a:fld id="{A36FE9D2-B702-44C3-9BC5-94C65A32591F}" type="CELLRANGE">
                      <a:rPr lang="nl-NL"/>
                      <a:pPr/>
                      <a:t>[CELLRANGE]</a:t>
                    </a:fld>
                    <a:r>
                      <a:rPr lang="nl-NL" baseline="0"/>
                      <a:t>; </a:t>
                    </a:r>
                    <a:fld id="{137B1F7D-60C2-403E-A6BD-B323EC9F2A5E}"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46B-46DE-9D2C-6434188CDC43}"/>
                </c:ext>
              </c:extLst>
            </c:dLbl>
            <c:dLbl>
              <c:idx val="13"/>
              <c:tx>
                <c:rich>
                  <a:bodyPr/>
                  <a:lstStyle/>
                  <a:p>
                    <a:fld id="{3D9E6FFD-B047-464D-B4D8-134449370B44}" type="CELLRANGE">
                      <a:rPr lang="nl-NL"/>
                      <a:pPr/>
                      <a:t>[CELLRANGE]</a:t>
                    </a:fld>
                    <a:r>
                      <a:rPr lang="nl-NL" baseline="0"/>
                      <a:t>; </a:t>
                    </a:r>
                    <a:fld id="{E2A69188-599B-482E-862B-C876094CC278}"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46B-46DE-9D2C-6434188CDC43}"/>
                </c:ext>
              </c:extLst>
            </c:dLbl>
            <c:dLbl>
              <c:idx val="14"/>
              <c:tx>
                <c:rich>
                  <a:bodyPr/>
                  <a:lstStyle/>
                  <a:p>
                    <a:fld id="{2F1D4E7C-6814-493C-BFA5-4EAF9ECB150F}" type="CELLRANGE">
                      <a:rPr lang="nl-NL"/>
                      <a:pPr/>
                      <a:t>[CELLRANGE]</a:t>
                    </a:fld>
                    <a:r>
                      <a:rPr lang="nl-NL" baseline="0"/>
                      <a:t>; </a:t>
                    </a:r>
                    <a:fld id="{D42EB688-4480-4343-8EB8-43231473C763}"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46B-46DE-9D2C-6434188CDC43}"/>
                </c:ext>
              </c:extLst>
            </c:dLbl>
            <c:spPr>
              <a:noFill/>
              <a:ln>
                <a:noFill/>
              </a:ln>
              <a:effectLst/>
            </c:spPr>
            <c:txPr>
              <a:bodyPr wrap="none"/>
              <a:lstStyle/>
              <a:p>
                <a:pPr>
                  <a:defRPr sz="1000">
                    <a:solidFill>
                      <a:schemeClr val="bg1">
                        <a:lumMod val="75000"/>
                      </a:schemeClr>
                    </a:solidFill>
                  </a:defRPr>
                </a:pPr>
                <a:endParaRPr lang="nl-NL"/>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15:leaderLines>
                  <c:spPr>
                    <a:ln w="9525" cap="flat" cmpd="sng" algn="ctr">
                      <a:solidFill>
                        <a:schemeClr val="tx1">
                          <a:lumMod val="35000"/>
                          <a:lumOff val="65000"/>
                        </a:schemeClr>
                      </a:solidFill>
                      <a:round/>
                    </a:ln>
                    <a:effectLst/>
                  </c:spPr>
                </c15:leaderLines>
              </c:ext>
            </c:extLst>
          </c:dLbls>
          <c:cat>
            <c:strRef>
              <c:f>'Uitkomsten verdeling'!$N$38:$N$52</c:f>
              <c:strCache>
                <c:ptCount val="15"/>
                <c:pt idx="0">
                  <c:v>TestPraktijk 1</c:v>
                </c:pt>
                <c:pt idx="1">
                  <c:v>TestPraktijk 2</c:v>
                </c:pt>
                <c:pt idx="2">
                  <c:v>TestPraktijk 3</c:v>
                </c:pt>
                <c:pt idx="3">
                  <c:v>TestPraktijk 4</c:v>
                </c:pt>
                <c:pt idx="4">
                  <c:v>TestPraktijk 5</c:v>
                </c:pt>
                <c:pt idx="5">
                  <c:v>TestPraktijk 6</c:v>
                </c:pt>
                <c:pt idx="6">
                  <c:v>TestPraktijk 7</c:v>
                </c:pt>
                <c:pt idx="7">
                  <c:v>TestPraktijk 8</c:v>
                </c:pt>
                <c:pt idx="8">
                  <c:v>TestPraktijk 9</c:v>
                </c:pt>
                <c:pt idx="9">
                  <c:v>TestPraktijk 10</c:v>
                </c:pt>
                <c:pt idx="10">
                  <c:v>TestPraktijk 11</c:v>
                </c:pt>
                <c:pt idx="11">
                  <c:v>TestPraktijk 12</c:v>
                </c:pt>
                <c:pt idx="12">
                  <c:v>TestPraktijk 13</c:v>
                </c:pt>
                <c:pt idx="13">
                  <c:v>TestPraktijk 14</c:v>
                </c:pt>
                <c:pt idx="14">
                  <c:v>TestPraktijk 15</c:v>
                </c:pt>
              </c:strCache>
            </c:strRef>
          </c:cat>
          <c:val>
            <c:numRef>
              <c:f>'Uitkomsten verdeling'!$O$38:$O$52</c:f>
              <c:numCache>
                <c:formatCode>"€"#,##0_);[Red]\("€"#,##0\)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5="http://schemas.microsoft.com/office/drawing/2012/chart" uri="{02D57815-91ED-43cb-92C2-25804820EDAC}">
              <c15:datalabelsRange>
                <c15:f>'Uitkomsten verdeling'!$P$38:$P$52</c15:f>
                <c15:dlblRangeCach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15:dlblRangeCache>
              </c15:datalabelsRange>
            </c:ext>
            <c:ext xmlns:c16="http://schemas.microsoft.com/office/drawing/2014/chart" uri="{C3380CC4-5D6E-409C-BE32-E72D297353CC}">
              <c16:uniqueId val="{00000000-7D55-4E2D-97A9-B653D9AC801D}"/>
            </c:ext>
          </c:extLst>
        </c:ser>
        <c:dLbls>
          <c:showLegendKey val="0"/>
          <c:showVal val="0"/>
          <c:showCatName val="0"/>
          <c:showSerName val="0"/>
          <c:showPercent val="0"/>
          <c:showBubbleSize val="0"/>
        </c:dLbls>
        <c:gapWidth val="75"/>
        <c:overlap val="100"/>
        <c:axId val="472293432"/>
        <c:axId val="472291792"/>
      </c:barChart>
      <c:catAx>
        <c:axId val="472293432"/>
        <c:scaling>
          <c:orientation val="maxMin"/>
        </c:scaling>
        <c:delete val="0"/>
        <c:axPos val="l"/>
        <c:numFmt formatCode="General" sourceLinked="1"/>
        <c:majorTickMark val="none"/>
        <c:minorTickMark val="none"/>
        <c:tickLblPos val="nextTo"/>
        <c:spPr>
          <a:noFill/>
          <a:effectLst/>
        </c:spPr>
        <c:txPr>
          <a:bodyPr rot="-60000000" vert="horz"/>
          <a:lstStyle/>
          <a:p>
            <a:pPr>
              <a:defRPr sz="1000"/>
            </a:pPr>
            <a:endParaRPr lang="nl-NL"/>
          </a:p>
        </c:txPr>
        <c:crossAx val="472291792"/>
        <c:crosses val="autoZero"/>
        <c:auto val="1"/>
        <c:lblAlgn val="ctr"/>
        <c:lblOffset val="100"/>
        <c:noMultiLvlLbl val="0"/>
      </c:catAx>
      <c:valAx>
        <c:axId val="472291792"/>
        <c:scaling>
          <c:orientation val="minMax"/>
        </c:scaling>
        <c:delete val="1"/>
        <c:axPos val="t"/>
        <c:majorGridlines>
          <c:spPr>
            <a:ln w="9525" cap="flat" cmpd="sng" algn="ctr">
              <a:noFill/>
              <a:round/>
            </a:ln>
            <a:effectLst/>
          </c:spPr>
        </c:majorGridlines>
        <c:numFmt formatCode="&quot;€&quot;#,##0_);[Red]\(&quot;€&quot;#,##0\)" sourceLinked="1"/>
        <c:majorTickMark val="none"/>
        <c:minorTickMark val="none"/>
        <c:tickLblPos val="nextTo"/>
        <c:crossAx val="47229343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 lastClr="FFFFFF">
          <a:lumMod val="75000"/>
        </a:sysClr>
      </a:solidFill>
      <a:round/>
    </a:ln>
    <a:effectLst>
      <a:outerShdw blurRad="50800" dist="38100" dir="2700000" algn="tl" rotWithShape="0">
        <a:prstClr val="black">
          <a:alpha val="40000"/>
        </a:prstClr>
      </a:outerShdw>
    </a:effectLst>
  </c:spPr>
  <c:txPr>
    <a:bodyPr/>
    <a:lstStyle/>
    <a:p>
      <a:pPr>
        <a:defRPr sz="1200" b="0">
          <a:solidFill>
            <a:srgbClr val="000000"/>
          </a:solidFill>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nl-NL"/>
              <a:t>Omzet per kraamzorgorganisatie</a:t>
            </a:r>
            <a:endParaRPr lang="nl-NL" baseline="0"/>
          </a:p>
          <a:p>
            <a:pPr>
              <a:defRPr sz="1200"/>
            </a:pPr>
            <a:r>
              <a:rPr lang="nl-NL"/>
              <a:t>[Euro x 1.000]</a:t>
            </a:r>
          </a:p>
        </c:rich>
      </c:tx>
      <c:overlay val="0"/>
    </c:title>
    <c:autoTitleDeleted val="0"/>
    <c:plotArea>
      <c:layout>
        <c:manualLayout>
          <c:layoutTarget val="inner"/>
          <c:xMode val="edge"/>
          <c:yMode val="edge"/>
          <c:x val="0.39043577840817117"/>
          <c:y val="0.1117152169747713"/>
          <c:w val="0.59980598899405169"/>
          <c:h val="0.86907185923318697"/>
        </c:manualLayout>
      </c:layout>
      <c:barChart>
        <c:barDir val="bar"/>
        <c:grouping val="stacked"/>
        <c:varyColors val="0"/>
        <c:ser>
          <c:idx val="0"/>
          <c:order val="0"/>
          <c:tx>
            <c:strRef>
              <c:f>'Uitkomsten verdeling'!$S$37</c:f>
              <c:strCache>
                <c:ptCount val="1"/>
                <c:pt idx="0">
                  <c:v>Omzet zorgaanbieder</c:v>
                </c:pt>
              </c:strCache>
            </c:strRef>
          </c:tx>
          <c:spPr>
            <a:solidFill>
              <a:schemeClr val="accent1"/>
            </a:solidFill>
            <a:ln>
              <a:noFill/>
            </a:ln>
            <a:effectLst/>
          </c:spPr>
          <c:invertIfNegative val="0"/>
          <c:dLbls>
            <c:dLbl>
              <c:idx val="0"/>
              <c:tx>
                <c:rich>
                  <a:bodyPr/>
                  <a:lstStyle/>
                  <a:p>
                    <a:fld id="{06F30F01-D367-40C1-802F-A50EF7A331F3}" type="CELLRANGE">
                      <a:rPr lang="nl-NL"/>
                      <a:pPr/>
                      <a:t>[CELLRANGE]</a:t>
                    </a:fld>
                    <a:r>
                      <a:rPr lang="nl-NL" baseline="0"/>
                      <a:t>; </a:t>
                    </a:r>
                    <a:fld id="{06F0C0FF-D069-477E-8BF7-E776FF8E64AD}"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077-4956-8BEF-E72E188DC2D1}"/>
                </c:ext>
              </c:extLst>
            </c:dLbl>
            <c:dLbl>
              <c:idx val="1"/>
              <c:tx>
                <c:rich>
                  <a:bodyPr/>
                  <a:lstStyle/>
                  <a:p>
                    <a:fld id="{03006F1F-3910-4383-93E6-CF1F86B2446D}" type="CELLRANGE">
                      <a:rPr lang="nl-NL"/>
                      <a:pPr/>
                      <a:t>[CELLRANGE]</a:t>
                    </a:fld>
                    <a:r>
                      <a:rPr lang="nl-NL" baseline="0"/>
                      <a:t>; </a:t>
                    </a:r>
                    <a:fld id="{56D379CB-F846-4A2C-B03A-70507B32F09B}"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077-4956-8BEF-E72E188DC2D1}"/>
                </c:ext>
              </c:extLst>
            </c:dLbl>
            <c:dLbl>
              <c:idx val="2"/>
              <c:tx>
                <c:rich>
                  <a:bodyPr/>
                  <a:lstStyle/>
                  <a:p>
                    <a:fld id="{D79FC2EC-C465-4603-B0FE-85AC5C87DC5F}" type="CELLRANGE">
                      <a:rPr lang="nl-NL"/>
                      <a:pPr/>
                      <a:t>[CELLRANGE]</a:t>
                    </a:fld>
                    <a:r>
                      <a:rPr lang="nl-NL" baseline="0"/>
                      <a:t>; </a:t>
                    </a:r>
                    <a:fld id="{9BB0A9AD-332C-4A42-8184-2C7B918D0B0F}"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077-4956-8BEF-E72E188DC2D1}"/>
                </c:ext>
              </c:extLst>
            </c:dLbl>
            <c:dLbl>
              <c:idx val="3"/>
              <c:tx>
                <c:rich>
                  <a:bodyPr/>
                  <a:lstStyle/>
                  <a:p>
                    <a:fld id="{EB51203C-5832-4002-8C86-50B02C25E6B6}" type="CELLRANGE">
                      <a:rPr lang="nl-NL"/>
                      <a:pPr/>
                      <a:t>[CELLRANGE]</a:t>
                    </a:fld>
                    <a:r>
                      <a:rPr lang="nl-NL" baseline="0"/>
                      <a:t>; </a:t>
                    </a:r>
                    <a:fld id="{1081BDC2-40E4-4A63-BD4E-CA7E5F0A71F3}"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077-4956-8BEF-E72E188DC2D1}"/>
                </c:ext>
              </c:extLst>
            </c:dLbl>
            <c:dLbl>
              <c:idx val="4"/>
              <c:tx>
                <c:rich>
                  <a:bodyPr/>
                  <a:lstStyle/>
                  <a:p>
                    <a:fld id="{F12BA3EA-8499-4D15-8840-5A8419D9B089}" type="CELLRANGE">
                      <a:rPr lang="nl-NL"/>
                      <a:pPr/>
                      <a:t>[CELLRANGE]</a:t>
                    </a:fld>
                    <a:r>
                      <a:rPr lang="nl-NL" baseline="0"/>
                      <a:t>; </a:t>
                    </a:r>
                    <a:fld id="{814BA2E5-4A0A-40E5-9443-68243CAE183C}" type="VALUE">
                      <a:rPr lang="nl-NL" baseline="0"/>
                      <a:pPr/>
                      <a:t>[WAARDE]</a:t>
                    </a:fld>
                    <a:endParaRPr lang="nl-NL" baseline="0"/>
                  </a:p>
                </c:rich>
              </c:tx>
              <c:dLblPos val="inBase"/>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077-4956-8BEF-E72E188DC2D1}"/>
                </c:ext>
              </c:extLst>
            </c:dLbl>
            <c:spPr>
              <a:noFill/>
              <a:ln>
                <a:noFill/>
              </a:ln>
              <a:effectLst/>
            </c:spPr>
            <c:txPr>
              <a:bodyPr wrap="none"/>
              <a:lstStyle/>
              <a:p>
                <a:pPr>
                  <a:defRPr sz="1000">
                    <a:solidFill>
                      <a:schemeClr val="bg1">
                        <a:lumMod val="75000"/>
                      </a:schemeClr>
                    </a:solidFill>
                  </a:defRPr>
                </a:pPr>
                <a:endParaRPr lang="nl-NL"/>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15:leaderLines>
                  <c:spPr>
                    <a:ln w="9525" cap="flat" cmpd="sng" algn="ctr">
                      <a:solidFill>
                        <a:schemeClr val="tx1">
                          <a:lumMod val="35000"/>
                          <a:lumOff val="65000"/>
                        </a:schemeClr>
                      </a:solidFill>
                      <a:round/>
                    </a:ln>
                    <a:effectLst/>
                  </c:spPr>
                </c15:leaderLines>
              </c:ext>
            </c:extLst>
          </c:dLbls>
          <c:cat>
            <c:strRef>
              <c:f>'Uitkomsten verdeling'!$R$38:$R$42</c:f>
              <c:strCache>
                <c:ptCount val="5"/>
                <c:pt idx="0">
                  <c:v>TestKraamzorgorganisatie 1</c:v>
                </c:pt>
                <c:pt idx="1">
                  <c:v>TestKraamzorgorganisatie 2</c:v>
                </c:pt>
                <c:pt idx="2">
                  <c:v>TestKraamzorgorganisatie 3</c:v>
                </c:pt>
                <c:pt idx="3">
                  <c:v>TestKraamzorgorganisatie 4</c:v>
                </c:pt>
                <c:pt idx="4">
                  <c:v>TestKraamzorgorganisatie 5</c:v>
                </c:pt>
              </c:strCache>
            </c:strRef>
          </c:cat>
          <c:val>
            <c:numRef>
              <c:f>'Uitkomsten verdeling'!$S$38:$S$42</c:f>
              <c:numCache>
                <c:formatCode>"€"#,##0_);[Red]\("€"#,##0\)</c:formatCode>
                <c:ptCount val="5"/>
                <c:pt idx="0">
                  <c:v>0</c:v>
                </c:pt>
                <c:pt idx="1">
                  <c:v>0</c:v>
                </c:pt>
                <c:pt idx="2">
                  <c:v>0</c:v>
                </c:pt>
                <c:pt idx="3">
                  <c:v>0</c:v>
                </c:pt>
                <c:pt idx="4">
                  <c:v>0</c:v>
                </c:pt>
              </c:numCache>
            </c:numRef>
          </c:val>
          <c:extLst>
            <c:ext xmlns:c15="http://schemas.microsoft.com/office/drawing/2012/chart" uri="{02D57815-91ED-43cb-92C2-25804820EDAC}">
              <c15:datalabelsRange>
                <c15:f>'Uitkomsten verdeling'!$T$38:$T$42</c15:f>
                <c15:dlblRangeCache>
                  <c:ptCount val="5"/>
                  <c:pt idx="0">
                    <c:v>0</c:v>
                  </c:pt>
                  <c:pt idx="1">
                    <c:v>0</c:v>
                  </c:pt>
                  <c:pt idx="2">
                    <c:v>0</c:v>
                  </c:pt>
                  <c:pt idx="3">
                    <c:v>0</c:v>
                  </c:pt>
                  <c:pt idx="4">
                    <c:v>0</c:v>
                  </c:pt>
                </c15:dlblRangeCache>
              </c15:datalabelsRange>
            </c:ext>
            <c:ext xmlns:c16="http://schemas.microsoft.com/office/drawing/2014/chart" uri="{C3380CC4-5D6E-409C-BE32-E72D297353CC}">
              <c16:uniqueId val="{00000000-5615-4441-84E7-0924C3A4098E}"/>
            </c:ext>
          </c:extLst>
        </c:ser>
        <c:dLbls>
          <c:showLegendKey val="0"/>
          <c:showVal val="0"/>
          <c:showCatName val="0"/>
          <c:showSerName val="0"/>
          <c:showPercent val="0"/>
          <c:showBubbleSize val="0"/>
        </c:dLbls>
        <c:gapWidth val="75"/>
        <c:overlap val="100"/>
        <c:axId val="472293432"/>
        <c:axId val="472291792"/>
      </c:barChart>
      <c:catAx>
        <c:axId val="472293432"/>
        <c:scaling>
          <c:orientation val="maxMin"/>
        </c:scaling>
        <c:delete val="0"/>
        <c:axPos val="l"/>
        <c:numFmt formatCode="General" sourceLinked="1"/>
        <c:majorTickMark val="none"/>
        <c:minorTickMark val="none"/>
        <c:tickLblPos val="nextTo"/>
        <c:spPr>
          <a:noFill/>
          <a:effectLst/>
        </c:spPr>
        <c:txPr>
          <a:bodyPr rot="-60000000" vert="horz"/>
          <a:lstStyle/>
          <a:p>
            <a:pPr>
              <a:defRPr sz="1000"/>
            </a:pPr>
            <a:endParaRPr lang="nl-NL"/>
          </a:p>
        </c:txPr>
        <c:crossAx val="472291792"/>
        <c:crosses val="autoZero"/>
        <c:auto val="1"/>
        <c:lblAlgn val="ctr"/>
        <c:lblOffset val="100"/>
        <c:noMultiLvlLbl val="0"/>
      </c:catAx>
      <c:valAx>
        <c:axId val="472291792"/>
        <c:scaling>
          <c:orientation val="minMax"/>
        </c:scaling>
        <c:delete val="1"/>
        <c:axPos val="t"/>
        <c:majorGridlines>
          <c:spPr>
            <a:ln w="9525" cap="flat" cmpd="sng" algn="ctr">
              <a:noFill/>
              <a:round/>
            </a:ln>
            <a:effectLst/>
          </c:spPr>
        </c:majorGridlines>
        <c:numFmt formatCode="&quot;€&quot;#,##0_);[Red]\(&quot;€&quot;#,##0\)" sourceLinked="1"/>
        <c:majorTickMark val="none"/>
        <c:minorTickMark val="none"/>
        <c:tickLblPos val="nextTo"/>
        <c:crossAx val="47229343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 lastClr="FFFFFF">
          <a:lumMod val="75000"/>
        </a:sysClr>
      </a:solidFill>
      <a:round/>
    </a:ln>
    <a:effectLst>
      <a:outerShdw blurRad="50800" dist="38100" dir="2700000" algn="tl" rotWithShape="0">
        <a:prstClr val="black">
          <a:alpha val="40000"/>
        </a:prstClr>
      </a:outerShdw>
    </a:effectLst>
  </c:spPr>
  <c:txPr>
    <a:bodyPr/>
    <a:lstStyle/>
    <a:p>
      <a:pPr>
        <a:defRPr sz="1200" b="0">
          <a:solidFill>
            <a:srgbClr val="000000"/>
          </a:solidFill>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sz="1200"/>
            </a:pPr>
            <a:r>
              <a:rPr lang="nl-NL"/>
              <a:t>Verantwoordelijke</a:t>
            </a:r>
            <a:r>
              <a:rPr lang="nl-NL" baseline="0"/>
              <a:t> tijdens zwangerschap* [aantal]</a:t>
            </a:r>
            <a:endParaRPr lang="nl-NL"/>
          </a:p>
        </c:rich>
      </c:tx>
      <c:overlay val="0"/>
      <c:spPr>
        <a:noFill/>
        <a:ln>
          <a:noFill/>
        </a:ln>
        <a:effectLst/>
      </c:spPr>
    </c:title>
    <c:autoTitleDeleted val="0"/>
    <c:plotArea>
      <c:layout>
        <c:manualLayout>
          <c:layoutTarget val="inner"/>
          <c:xMode val="edge"/>
          <c:yMode val="edge"/>
          <c:x val="0.19743796296296293"/>
          <c:y val="0.22197662037037039"/>
          <c:w val="0.60159328703703707"/>
          <c:h val="0.60159328703703707"/>
        </c:manualLayout>
      </c:layout>
      <c:pieChart>
        <c:varyColors val="1"/>
        <c:ser>
          <c:idx val="0"/>
          <c:order val="0"/>
          <c:tx>
            <c:strRef>
              <c:f>Regiokenmerken!$C$36</c:f>
              <c:strCache>
                <c:ptCount val="1"/>
                <c:pt idx="0">
                  <c:v>Aantal</c:v>
                </c:pt>
              </c:strCache>
            </c:strRef>
          </c:tx>
          <c:dPt>
            <c:idx val="0"/>
            <c:bubble3D val="0"/>
            <c:spPr>
              <a:solidFill>
                <a:schemeClr val="accent1"/>
              </a:solidFill>
              <a:ln>
                <a:noFill/>
              </a:ln>
              <a:effectLst/>
            </c:spPr>
            <c:extLst>
              <c:ext xmlns:c16="http://schemas.microsoft.com/office/drawing/2014/chart" uri="{C3380CC4-5D6E-409C-BE32-E72D297353CC}">
                <c16:uniqueId val="{00000001-7870-4CFC-8750-D65290D89B2D}"/>
              </c:ext>
            </c:extLst>
          </c:dPt>
          <c:dPt>
            <c:idx val="1"/>
            <c:bubble3D val="0"/>
            <c:spPr>
              <a:solidFill>
                <a:schemeClr val="accent2"/>
              </a:solidFill>
              <a:ln>
                <a:noFill/>
              </a:ln>
              <a:effectLst/>
            </c:spPr>
            <c:extLst>
              <c:ext xmlns:c16="http://schemas.microsoft.com/office/drawing/2014/chart" uri="{C3380CC4-5D6E-409C-BE32-E72D297353CC}">
                <c16:uniqueId val="{00000003-7870-4CFC-8750-D65290D89B2D}"/>
              </c:ext>
            </c:extLst>
          </c:dPt>
          <c:dPt>
            <c:idx val="2"/>
            <c:bubble3D val="0"/>
            <c:spPr>
              <a:solidFill>
                <a:schemeClr val="accent3"/>
              </a:solidFill>
              <a:ln>
                <a:noFill/>
              </a:ln>
              <a:effectLst/>
            </c:spPr>
            <c:extLst>
              <c:ext xmlns:c16="http://schemas.microsoft.com/office/drawing/2014/chart" uri="{C3380CC4-5D6E-409C-BE32-E72D297353CC}">
                <c16:uniqueId val="{00000005-7870-4CFC-8750-D65290D89B2D}"/>
              </c:ext>
            </c:extLst>
          </c:dPt>
          <c:dPt>
            <c:idx val="3"/>
            <c:bubble3D val="0"/>
            <c:spPr>
              <a:solidFill>
                <a:schemeClr val="accent4"/>
              </a:solidFill>
              <a:ln>
                <a:noFill/>
              </a:ln>
              <a:effectLst/>
            </c:spPr>
            <c:extLst>
              <c:ext xmlns:c16="http://schemas.microsoft.com/office/drawing/2014/chart" uri="{C3380CC4-5D6E-409C-BE32-E72D297353CC}">
                <c16:uniqueId val="{00000007-7870-4CFC-8750-D65290D89B2D}"/>
              </c:ext>
            </c:extLst>
          </c:dPt>
          <c:dPt>
            <c:idx val="4"/>
            <c:bubble3D val="0"/>
            <c:spPr>
              <a:solidFill>
                <a:schemeClr val="accent5"/>
              </a:solidFill>
              <a:ln>
                <a:noFill/>
              </a:ln>
              <a:effectLst/>
            </c:spPr>
            <c:extLst>
              <c:ext xmlns:c16="http://schemas.microsoft.com/office/drawing/2014/chart" uri="{C3380CC4-5D6E-409C-BE32-E72D297353CC}">
                <c16:uniqueId val="{00000009-7870-4CFC-8750-D65290D89B2D}"/>
              </c:ext>
            </c:extLst>
          </c:dPt>
          <c:dPt>
            <c:idx val="5"/>
            <c:bubble3D val="0"/>
            <c:spPr>
              <a:solidFill>
                <a:schemeClr val="accent6"/>
              </a:solidFill>
              <a:ln>
                <a:noFill/>
              </a:ln>
              <a:effectLst/>
            </c:spPr>
            <c:extLst>
              <c:ext xmlns:c16="http://schemas.microsoft.com/office/drawing/2014/chart" uri="{C3380CC4-5D6E-409C-BE32-E72D297353CC}">
                <c16:uniqueId val="{0000000B-7870-4CFC-8750-D65290D89B2D}"/>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7870-4CFC-8750-D65290D89B2D}"/>
              </c:ext>
            </c:extLst>
          </c:dPt>
          <c:dLbls>
            <c:dLbl>
              <c:idx val="0"/>
              <c:spPr>
                <a:noFill/>
                <a:ln>
                  <a:noFill/>
                </a:ln>
                <a:effectLst/>
              </c:spPr>
              <c:txPr>
                <a:bodyPr rot="0" vert="horz"/>
                <a:lstStyle/>
                <a:p>
                  <a:pPr>
                    <a:defRPr sz="1000">
                      <a:solidFill>
                        <a:schemeClr val="bg1"/>
                      </a:solidFill>
                    </a:defRPr>
                  </a:pPr>
                  <a:endParaRPr lang="nl-NL"/>
                </a:p>
              </c:txPr>
              <c:dLblPos val="bestFit"/>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870-4CFC-8750-D65290D89B2D}"/>
                </c:ext>
              </c:extLst>
            </c:dLbl>
            <c:dLbl>
              <c:idx val="1"/>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7870-4CFC-8750-D65290D89B2D}"/>
                </c:ext>
              </c:extLst>
            </c:dLbl>
            <c:dLbl>
              <c:idx val="2"/>
              <c:layout>
                <c:manualLayout>
                  <c:x val="4.2543770291657797E-2"/>
                  <c:y val="1.375186620860148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465265919881887"/>
                      <c:h val="0.11139273274782814"/>
                    </c:manualLayout>
                  </c15:layout>
                </c:ext>
                <c:ext xmlns:c16="http://schemas.microsoft.com/office/drawing/2014/chart" uri="{C3380CC4-5D6E-409C-BE32-E72D297353CC}">
                  <c16:uniqueId val="{00000005-7870-4CFC-8750-D65290D89B2D}"/>
                </c:ext>
              </c:extLst>
            </c:dLbl>
            <c:dLbl>
              <c:idx val="3"/>
              <c:spPr>
                <a:noFill/>
                <a:ln>
                  <a:noFill/>
                </a:ln>
                <a:effectLst/>
              </c:spPr>
              <c:txPr>
                <a:bodyPr rot="0" vert="horz"/>
                <a:lstStyle/>
                <a:p>
                  <a:pPr>
                    <a:defRPr sz="1000">
                      <a:solidFill>
                        <a:schemeClr val="bg1"/>
                      </a:solidFill>
                    </a:defRPr>
                  </a:pPr>
                  <a:endParaRPr lang="nl-NL"/>
                </a:p>
              </c:txPr>
              <c:dLblPos val="bestFit"/>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7870-4CFC-8750-D65290D89B2D}"/>
                </c:ext>
              </c:extLst>
            </c:dLbl>
            <c:dLbl>
              <c:idx val="4"/>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7870-4CFC-8750-D65290D89B2D}"/>
                </c:ext>
              </c:extLst>
            </c:dLbl>
            <c:dLbl>
              <c:idx val="5"/>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7870-4CFC-8750-D65290D89B2D}"/>
                </c:ext>
              </c:extLst>
            </c:dLbl>
            <c:spPr>
              <a:noFill/>
              <a:ln>
                <a:noFill/>
              </a:ln>
              <a:effectLst/>
            </c:spPr>
            <c:txPr>
              <a:bodyPr rot="0" vert="horz"/>
              <a:lstStyle/>
              <a:p>
                <a:pPr>
                  <a:defRPr sz="1000"/>
                </a:pPr>
                <a:endParaRPr lang="nl-NL"/>
              </a:p>
            </c:txPr>
            <c:dLblPos val="bestFit"/>
            <c:showLegendKey val="0"/>
            <c:showVal val="0"/>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Regiokenmerken!$B$37:$B$39</c:f>
              <c:strCache>
                <c:ptCount val="3"/>
                <c:pt idx="0">
                  <c:v>1e lijn</c:v>
                </c:pt>
                <c:pt idx="1">
                  <c:v>2e lijn</c:v>
                </c:pt>
                <c:pt idx="2">
                  <c:v>Onbekend</c:v>
                </c:pt>
              </c:strCache>
            </c:strRef>
          </c:cat>
          <c:val>
            <c:numRef>
              <c:f>Regiokenmerken!$C$37:$C$39</c:f>
              <c:numCache>
                <c:formatCode>#,##0</c:formatCode>
                <c:ptCount val="3"/>
                <c:pt idx="0">
                  <c:v>0</c:v>
                </c:pt>
                <c:pt idx="1">
                  <c:v>0</c:v>
                </c:pt>
                <c:pt idx="2">
                  <c:v>0</c:v>
                </c:pt>
              </c:numCache>
            </c:numRef>
          </c:val>
          <c:extLst>
            <c:ext xmlns:c16="http://schemas.microsoft.com/office/drawing/2014/chart" uri="{C3380CC4-5D6E-409C-BE32-E72D297353CC}">
              <c16:uniqueId val="{0000000E-7870-4CFC-8750-D65290D89B2D}"/>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ysClr val="window" lastClr="FFFFFF">
          <a:lumMod val="75000"/>
        </a:sysClr>
      </a:solidFill>
      <a:round/>
    </a:ln>
    <a:effectLst>
      <a:outerShdw blurRad="50800" dist="38100" dir="2700000" algn="tl" rotWithShape="0">
        <a:prstClr val="black">
          <a:alpha val="40000"/>
        </a:prstClr>
      </a:outerShdw>
    </a:effectLst>
  </c:spPr>
  <c:txPr>
    <a:bodyPr/>
    <a:lstStyle/>
    <a:p>
      <a:pPr>
        <a:defRPr sz="1200" b="0">
          <a:solidFill>
            <a:srgbClr val="000000"/>
          </a:solidFill>
        </a:defRPr>
      </a:pPr>
      <a:endParaRPr lang="nl-NL"/>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nl-NL" sz="1200"/>
              <a:t>Verantwoordelijke tijdens zwangerschap*</a:t>
            </a:r>
            <a:br>
              <a:rPr lang="nl-NL" sz="1200"/>
            </a:br>
            <a:r>
              <a:rPr lang="nl-NL" sz="1200"/>
              <a:t>per type partus [aantal]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nl-NL"/>
        </a:p>
      </c:txPr>
    </c:title>
    <c:autoTitleDeleted val="0"/>
    <c:plotArea>
      <c:layout>
        <c:manualLayout>
          <c:layoutTarget val="inner"/>
          <c:xMode val="edge"/>
          <c:yMode val="edge"/>
          <c:x val="0.12470150494549447"/>
          <c:y val="0.15742708333333333"/>
          <c:w val="0.80868776825920663"/>
          <c:h val="0.4918540733317614"/>
        </c:manualLayout>
      </c:layout>
      <c:barChart>
        <c:barDir val="col"/>
        <c:grouping val="stacked"/>
        <c:varyColors val="0"/>
        <c:ser>
          <c:idx val="0"/>
          <c:order val="0"/>
          <c:tx>
            <c:strRef>
              <c:f>Regiokenmerken!$F$36</c:f>
              <c:strCache>
                <c:ptCount val="1"/>
                <c:pt idx="0">
                  <c:v>1e lijn</c:v>
                </c:pt>
              </c:strCache>
            </c:strRef>
          </c:tx>
          <c:spPr>
            <a:solidFill>
              <a:schemeClr val="accent1"/>
            </a:solidFill>
            <a:ln>
              <a:noFill/>
            </a:ln>
            <a:effectLst/>
          </c:spPr>
          <c:invertIfNegative val="0"/>
          <c:cat>
            <c:strRef>
              <c:f>Regiokenmerken!$E$37:$E$41</c:f>
              <c:strCache>
                <c:ptCount val="5"/>
                <c:pt idx="0">
                  <c:v>Spontaan</c:v>
                </c:pt>
                <c:pt idx="1">
                  <c:v>Onbekend</c:v>
                </c:pt>
                <c:pt idx="2">
                  <c:v>Sectio Caesarea</c:v>
                </c:pt>
                <c:pt idx="3">
                  <c:v>Kunstverlossing</c:v>
                </c:pt>
                <c:pt idx="4">
                  <c:v>TOP</c:v>
                </c:pt>
              </c:strCache>
            </c:strRef>
          </c:cat>
          <c:val>
            <c:numRef>
              <c:f>Regiokenmerken!$F$37:$F$41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B71-41ED-AF62-F8445612E914}"/>
            </c:ext>
          </c:extLst>
        </c:ser>
        <c:ser>
          <c:idx val="1"/>
          <c:order val="1"/>
          <c:tx>
            <c:strRef>
              <c:f>Regiokenmerken!$G$36</c:f>
              <c:strCache>
                <c:ptCount val="1"/>
                <c:pt idx="0">
                  <c:v>2e lijn</c:v>
                </c:pt>
              </c:strCache>
            </c:strRef>
          </c:tx>
          <c:spPr>
            <a:solidFill>
              <a:schemeClr val="accent2"/>
            </a:solidFill>
            <a:ln>
              <a:noFill/>
            </a:ln>
            <a:effectLst/>
          </c:spPr>
          <c:invertIfNegative val="0"/>
          <c:cat>
            <c:strRef>
              <c:f>Regiokenmerken!$E$37:$E$41</c:f>
              <c:strCache>
                <c:ptCount val="5"/>
                <c:pt idx="0">
                  <c:v>Spontaan</c:v>
                </c:pt>
                <c:pt idx="1">
                  <c:v>Onbekend</c:v>
                </c:pt>
                <c:pt idx="2">
                  <c:v>Sectio Caesarea</c:v>
                </c:pt>
                <c:pt idx="3">
                  <c:v>Kunstverlossing</c:v>
                </c:pt>
                <c:pt idx="4">
                  <c:v>TOP</c:v>
                </c:pt>
              </c:strCache>
            </c:strRef>
          </c:cat>
          <c:val>
            <c:numRef>
              <c:f>Regiokenmerken!$G$37:$G$41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9B71-41ED-AF62-F8445612E914}"/>
            </c:ext>
          </c:extLst>
        </c:ser>
        <c:ser>
          <c:idx val="2"/>
          <c:order val="2"/>
          <c:tx>
            <c:strRef>
              <c:f>Regiokenmerken!$H$36</c:f>
              <c:strCache>
                <c:ptCount val="1"/>
                <c:pt idx="0">
                  <c:v>Onbekend</c:v>
                </c:pt>
              </c:strCache>
            </c:strRef>
          </c:tx>
          <c:spPr>
            <a:solidFill>
              <a:schemeClr val="accent3"/>
            </a:solidFill>
            <a:ln>
              <a:noFill/>
            </a:ln>
            <a:effectLst/>
          </c:spPr>
          <c:invertIfNegative val="0"/>
          <c:cat>
            <c:strRef>
              <c:f>Regiokenmerken!$E$37:$E$41</c:f>
              <c:strCache>
                <c:ptCount val="5"/>
                <c:pt idx="0">
                  <c:v>Spontaan</c:v>
                </c:pt>
                <c:pt idx="1">
                  <c:v>Onbekend</c:v>
                </c:pt>
                <c:pt idx="2">
                  <c:v>Sectio Caesarea</c:v>
                </c:pt>
                <c:pt idx="3">
                  <c:v>Kunstverlossing</c:v>
                </c:pt>
                <c:pt idx="4">
                  <c:v>TOP</c:v>
                </c:pt>
              </c:strCache>
            </c:strRef>
          </c:cat>
          <c:val>
            <c:numRef>
              <c:f>Regiokenmerken!$H$37:$H$41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9B71-41ED-AF62-F8445612E914}"/>
            </c:ext>
          </c:extLst>
        </c:ser>
        <c:dLbls>
          <c:showLegendKey val="0"/>
          <c:showVal val="0"/>
          <c:showCatName val="0"/>
          <c:showSerName val="0"/>
          <c:showPercent val="0"/>
          <c:showBubbleSize val="0"/>
        </c:dLbls>
        <c:gapWidth val="150"/>
        <c:overlap val="100"/>
        <c:axId val="2083871951"/>
        <c:axId val="2083872783"/>
      </c:barChart>
      <c:catAx>
        <c:axId val="2083871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nl-NL"/>
          </a:p>
        </c:txPr>
        <c:crossAx val="2083872783"/>
        <c:crosses val="autoZero"/>
        <c:auto val="1"/>
        <c:lblAlgn val="ctr"/>
        <c:lblOffset val="100"/>
        <c:noMultiLvlLbl val="0"/>
      </c:catAx>
      <c:valAx>
        <c:axId val="208387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nl-NL"/>
          </a:p>
        </c:txPr>
        <c:crossAx val="2083871951"/>
        <c:crosses val="autoZero"/>
        <c:crossBetween val="between"/>
      </c:valAx>
      <c:spPr>
        <a:noFill/>
        <a:ln>
          <a:noFill/>
        </a:ln>
        <a:effectLst/>
      </c:spPr>
    </c:plotArea>
    <c:legend>
      <c:legendPos val="tr"/>
      <c:layout>
        <c:manualLayout>
          <c:xMode val="edge"/>
          <c:yMode val="edge"/>
          <c:x val="0.3733839148703188"/>
          <c:y val="0.15834943814744598"/>
          <c:w val="0.60747848275481031"/>
          <c:h val="7.532645528380344E-2"/>
        </c:manualLayout>
      </c:layout>
      <c:overlay val="1"/>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75000"/>
        </a:schemeClr>
      </a:solidFill>
      <a:round/>
    </a:ln>
    <a:effectLst>
      <a:outerShdw blurRad="50800" dist="38100" dir="2700000" algn="tl" rotWithShape="0">
        <a:prstClr val="black">
          <a:alpha val="40000"/>
        </a:prstClr>
      </a:outerShdw>
    </a:effectLst>
  </c:spPr>
  <c:txPr>
    <a:bodyPr/>
    <a:lstStyle/>
    <a:p>
      <a:pPr>
        <a:defRPr sz="1200">
          <a:solidFill>
            <a:sysClr val="windowText" lastClr="000000"/>
          </a:solidFill>
        </a:defRPr>
      </a:pPr>
      <a:endParaRPr lang="nl-NL"/>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200"/>
              <a:t>Aantal opnames van pasgeborenen</a:t>
            </a:r>
            <a:r>
              <a:rPr lang="en-US" sz="1200" baseline="0"/>
              <a:t> </a:t>
            </a:r>
            <a:br>
              <a:rPr lang="en-US" sz="1200" baseline="0"/>
            </a:br>
            <a:r>
              <a:rPr lang="en-US" sz="1200" baseline="0"/>
              <a:t>[</a:t>
            </a:r>
            <a:r>
              <a:rPr lang="en-US" sz="1200"/>
              <a:t>aantal]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nl-NL"/>
        </a:p>
      </c:txPr>
    </c:title>
    <c:autoTitleDeleted val="0"/>
    <c:plotArea>
      <c:layout/>
      <c:barChart>
        <c:barDir val="bar"/>
        <c:grouping val="clustered"/>
        <c:varyColors val="0"/>
        <c:ser>
          <c:idx val="0"/>
          <c:order val="0"/>
          <c:tx>
            <c:strRef>
              <c:f>Regiokenmerken!$R$36</c:f>
              <c:strCache>
                <c:ptCount val="1"/>
                <c:pt idx="0">
                  <c:v>Aantal (2019)</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(Regiokenmerken!$Q$37,Regiokenmerken!$Q$40)</c:f>
              <c:strCache>
                <c:ptCount val="2"/>
                <c:pt idx="0">
                  <c:v>NICU-opnames</c:v>
                </c:pt>
                <c:pt idx="1">
                  <c:v>Algemene opnames</c:v>
                </c:pt>
              </c:strCache>
            </c:strRef>
          </c:cat>
          <c:val>
            <c:numRef>
              <c:f>(Regiokenmerken!$R$37,Regiokenmerken!$R$40)</c:f>
              <c:numCache>
                <c:formatCode>#,##0</c:formatCode>
                <c:ptCount val="2"/>
                <c:pt idx="0">
                  <c:v>0</c:v>
                </c:pt>
                <c:pt idx="1">
                  <c:v>0</c:v>
                </c:pt>
              </c:numCache>
            </c:numRef>
          </c:val>
          <c:extLst>
            <c:ext xmlns:c16="http://schemas.microsoft.com/office/drawing/2014/chart" uri="{C3380CC4-5D6E-409C-BE32-E72D297353CC}">
              <c16:uniqueId val="{00000000-AD12-41EE-B434-3D8A1C47ED60}"/>
            </c:ext>
          </c:extLst>
        </c:ser>
        <c:dLbls>
          <c:showLegendKey val="0"/>
          <c:showVal val="0"/>
          <c:showCatName val="0"/>
          <c:showSerName val="0"/>
          <c:showPercent val="0"/>
          <c:showBubbleSize val="0"/>
        </c:dLbls>
        <c:gapWidth val="42"/>
        <c:axId val="1673425119"/>
        <c:axId val="1673426367"/>
      </c:barChart>
      <c:catAx>
        <c:axId val="16734251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nl-NL"/>
          </a:p>
        </c:txPr>
        <c:crossAx val="1673426367"/>
        <c:crosses val="autoZero"/>
        <c:auto val="1"/>
        <c:lblAlgn val="ctr"/>
        <c:lblOffset val="100"/>
        <c:noMultiLvlLbl val="0"/>
      </c:catAx>
      <c:valAx>
        <c:axId val="1673426367"/>
        <c:scaling>
          <c:orientation val="minMax"/>
        </c:scaling>
        <c:delete val="1"/>
        <c:axPos val="b"/>
        <c:numFmt formatCode="#,##0" sourceLinked="1"/>
        <c:majorTickMark val="none"/>
        <c:minorTickMark val="none"/>
        <c:tickLblPos val="nextTo"/>
        <c:crossAx val="16734251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a:outerShdw blurRad="50800" dist="38100" dir="2700000" algn="tl" rotWithShape="0">
        <a:prstClr val="black">
          <a:alpha val="40000"/>
        </a:prstClr>
      </a:outerShdw>
    </a:effectLst>
  </c:spPr>
  <c:txPr>
    <a:bodyPr/>
    <a:lstStyle/>
    <a:p>
      <a:pPr>
        <a:defRPr>
          <a:solidFill>
            <a:sysClr val="windowText" lastClr="000000"/>
          </a:solidFill>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sz="1200"/>
            </a:pPr>
            <a:r>
              <a:rPr lang="nl-NL" sz="1200"/>
              <a:t>Gemiddelde opnameduur pasgeborenen [aantal dagen]</a:t>
            </a:r>
          </a:p>
        </c:rich>
      </c:tx>
      <c:layout>
        <c:manualLayout>
          <c:xMode val="edge"/>
          <c:yMode val="edge"/>
          <c:x val="0.21312489063867018"/>
          <c:y val="2.7777777777777783E-2"/>
        </c:manualLayout>
      </c:layout>
      <c:overlay val="0"/>
      <c:spPr>
        <a:noFill/>
        <a:ln>
          <a:noFill/>
        </a:ln>
        <a:effectLst/>
      </c:spPr>
    </c:title>
    <c:autoTitleDeleted val="0"/>
    <c:plotArea>
      <c:layout>
        <c:manualLayout>
          <c:layoutTarget val="inner"/>
          <c:xMode val="edge"/>
          <c:yMode val="edge"/>
          <c:x val="0.48036657917760278"/>
          <c:y val="0.22386212121212123"/>
          <c:w val="0.4474367891513561"/>
          <c:h val="0.70588232323232325"/>
        </c:manualLayout>
      </c:layout>
      <c:barChart>
        <c:barDir val="bar"/>
        <c:grouping val="clustered"/>
        <c:varyColors val="0"/>
        <c:ser>
          <c:idx val="0"/>
          <c:order val="0"/>
          <c:tx>
            <c:strRef>
              <c:f>Regiokenmerken!$R$36</c:f>
              <c:strCache>
                <c:ptCount val="1"/>
                <c:pt idx="0">
                  <c:v>Aantal (2019)</c:v>
                </c:pt>
              </c:strCache>
            </c:strRef>
          </c:tx>
          <c:spPr>
            <a:solidFill>
              <a:schemeClr val="accent1"/>
            </a:solidFill>
            <a:ln>
              <a:noFill/>
            </a:ln>
            <a:effectLst/>
          </c:spPr>
          <c:invertIfNegative val="0"/>
          <c:dLbls>
            <c:spPr>
              <a:noFill/>
              <a:ln>
                <a:noFill/>
              </a:ln>
              <a:effectLst/>
            </c:spPr>
            <c:txPr>
              <a:bodyPr/>
              <a:lstStyle/>
              <a:p>
                <a:pPr>
                  <a:defRPr sz="1000"/>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(Regiokenmerken!$Q$39,Regiokenmerken!$Q$42)</c:f>
              <c:strCache>
                <c:ptCount val="2"/>
                <c:pt idx="0">
                  <c:v>Gemiddelde opnameduur NICU</c:v>
                </c:pt>
                <c:pt idx="1">
                  <c:v>Gemiddelde algemene opnameduur</c:v>
                </c:pt>
              </c:strCache>
            </c:strRef>
          </c:cat>
          <c:val>
            <c:numRef>
              <c:f>(Regiokenmerken!$R$39,Regiokenmerken!$R$42)</c:f>
              <c:numCache>
                <c:formatCode>#,##0.0</c:formatCode>
                <c:ptCount val="2"/>
                <c:pt idx="0">
                  <c:v>0</c:v>
                </c:pt>
                <c:pt idx="1">
                  <c:v>0</c:v>
                </c:pt>
              </c:numCache>
            </c:numRef>
          </c:val>
          <c:extLst>
            <c:ext xmlns:c16="http://schemas.microsoft.com/office/drawing/2014/chart" uri="{C3380CC4-5D6E-409C-BE32-E72D297353CC}">
              <c16:uniqueId val="{00000000-0165-4397-9C05-7F8ACE8FD655}"/>
            </c:ext>
          </c:extLst>
        </c:ser>
        <c:dLbls>
          <c:showLegendKey val="0"/>
          <c:showVal val="0"/>
          <c:showCatName val="0"/>
          <c:showSerName val="0"/>
          <c:showPercent val="0"/>
          <c:showBubbleSize val="0"/>
        </c:dLbls>
        <c:gapWidth val="75"/>
        <c:axId val="472293432"/>
        <c:axId val="472291792"/>
      </c:barChart>
      <c:catAx>
        <c:axId val="472293432"/>
        <c:scaling>
          <c:orientation val="maxMin"/>
        </c:scaling>
        <c:delete val="0"/>
        <c:axPos val="l"/>
        <c:numFmt formatCode="General" sourceLinked="1"/>
        <c:majorTickMark val="none"/>
        <c:minorTickMark val="none"/>
        <c:tickLblPos val="nextTo"/>
        <c:spPr>
          <a:noFill/>
          <a:effectLst/>
        </c:spPr>
        <c:txPr>
          <a:bodyPr rot="-60000000" vert="horz"/>
          <a:lstStyle/>
          <a:p>
            <a:pPr>
              <a:defRPr sz="1000"/>
            </a:pPr>
            <a:endParaRPr lang="nl-NL"/>
          </a:p>
        </c:txPr>
        <c:crossAx val="472291792"/>
        <c:crosses val="autoZero"/>
        <c:auto val="1"/>
        <c:lblAlgn val="ctr"/>
        <c:lblOffset val="100"/>
        <c:noMultiLvlLbl val="0"/>
      </c:catAx>
      <c:valAx>
        <c:axId val="472291792"/>
        <c:scaling>
          <c:orientation val="minMax"/>
        </c:scaling>
        <c:delete val="1"/>
        <c:axPos val="t"/>
        <c:majorGridlines>
          <c:spPr>
            <a:ln w="9525" cap="flat" cmpd="sng" algn="ctr">
              <a:noFill/>
              <a:round/>
            </a:ln>
            <a:effectLst/>
          </c:spPr>
        </c:majorGridlines>
        <c:numFmt formatCode="#,##0.0" sourceLinked="1"/>
        <c:majorTickMark val="none"/>
        <c:minorTickMark val="none"/>
        <c:tickLblPos val="nextTo"/>
        <c:crossAx val="47229343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 lastClr="FFFFFF">
          <a:lumMod val="75000"/>
        </a:sysClr>
      </a:solidFill>
      <a:round/>
    </a:ln>
    <a:effectLst>
      <a:outerShdw blurRad="50800" dist="38100" dir="2700000" algn="tl" rotWithShape="0">
        <a:prstClr val="black">
          <a:alpha val="40000"/>
        </a:prstClr>
      </a:outerShdw>
    </a:effectLst>
  </c:spPr>
  <c:txPr>
    <a:bodyPr/>
    <a:lstStyle/>
    <a:p>
      <a:pPr>
        <a:defRPr sz="1200" b="0">
          <a:solidFill>
            <a:sysClr val="windowText" lastClr="000000"/>
          </a:solidFill>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sz="1200"/>
            </a:pPr>
            <a:r>
              <a:rPr lang="nl-NL" baseline="0"/>
              <a:t>Overdracht van 1e naar 2e lijn per reden </a:t>
            </a:r>
            <a:br>
              <a:rPr lang="nl-NL" baseline="0"/>
            </a:br>
            <a:r>
              <a:rPr lang="nl-NL" baseline="0"/>
              <a:t>[aantal]</a:t>
            </a:r>
            <a:endParaRPr lang="nl-NL"/>
          </a:p>
        </c:rich>
      </c:tx>
      <c:layout>
        <c:manualLayout>
          <c:xMode val="edge"/>
          <c:yMode val="edge"/>
          <c:x val="0.16819468820436281"/>
          <c:y val="2.777777777777778E-2"/>
        </c:manualLayout>
      </c:layout>
      <c:overlay val="0"/>
      <c:spPr>
        <a:noFill/>
        <a:ln>
          <a:noFill/>
        </a:ln>
        <a:effectLst/>
      </c:spPr>
    </c:title>
    <c:autoTitleDeleted val="0"/>
    <c:plotArea>
      <c:layout>
        <c:manualLayout>
          <c:layoutTarget val="inner"/>
          <c:xMode val="edge"/>
          <c:yMode val="edge"/>
          <c:x val="0.47183553832935982"/>
          <c:y val="0.1471658615136876"/>
          <c:w val="0.45596776258054061"/>
          <c:h val="0.81222678327086684"/>
        </c:manualLayout>
      </c:layout>
      <c:barChart>
        <c:barDir val="bar"/>
        <c:grouping val="clustered"/>
        <c:varyColors val="0"/>
        <c:ser>
          <c:idx val="0"/>
          <c:order val="0"/>
          <c:tx>
            <c:strRef>
              <c:f>Regiokenmerken!$U$36</c:f>
              <c:strCache>
                <c:ptCount val="1"/>
                <c:pt idx="0">
                  <c:v>Aantal (2019)</c:v>
                </c:pt>
              </c:strCache>
            </c:strRef>
          </c:tx>
          <c:spPr>
            <a:solidFill>
              <a:schemeClr val="accent1"/>
            </a:solidFill>
            <a:ln>
              <a:noFill/>
            </a:ln>
            <a:effectLst/>
          </c:spPr>
          <c:invertIfNegative val="0"/>
          <c:dLbls>
            <c:spPr>
              <a:noFill/>
              <a:ln>
                <a:noFill/>
              </a:ln>
              <a:effectLst/>
            </c:spPr>
            <c:txPr>
              <a:bodyPr wrap="square" lIns="38100" tIns="19050" rIns="38100" bIns="19050" anchor="ctr">
                <a:spAutoFit/>
              </a:bodyPr>
              <a:lstStyle/>
              <a:p>
                <a:pPr>
                  <a:defRPr sz="1000"/>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Regiokenmerken!$T$38:$T$55</c:f>
              <c:strCache>
                <c:ptCount val="18"/>
                <c:pt idx="0">
                  <c:v>Overige indicaties</c:v>
                </c:pt>
                <c:pt idx="1">
                  <c:v>SC in anamnese</c:v>
                </c:pt>
                <c:pt idx="2">
                  <c:v>Pijnbestrijding/sedatie tijdens baring</c:v>
                </c:pt>
                <c:pt idx="3">
                  <c:v>Preëxistente aandoeningen</c:v>
                </c:pt>
                <c:pt idx="4">
                  <c:v>Meconiumhoudend vruchtwater</c:v>
                </c:pt>
                <c:pt idx="5">
                  <c:v>Overige aandoeningen in obstetrische anamnese</c:v>
                </c:pt>
                <c:pt idx="6">
                  <c:v>Serotiniteit</c:v>
                </c:pt>
                <c:pt idx="7">
                  <c:v>Zwangerschapshypertensie</c:v>
                </c:pt>
                <c:pt idx="8">
                  <c:v>Langdurig gebroken vliezen zonder weeën</c:v>
                </c:pt>
                <c:pt idx="9">
                  <c:v>Niet-vorderende ontsluiting</c:v>
                </c:pt>
                <c:pt idx="10">
                  <c:v>Groeivertraging (verdenking op)</c:v>
                </c:pt>
                <c:pt idx="11">
                  <c:v>Minder leven</c:v>
                </c:pt>
                <c:pt idx="12">
                  <c:v>Liggingsafwijking a terme</c:v>
                </c:pt>
                <c:pt idx="13">
                  <c:v>Niet-vorderende uitdrijving</c:v>
                </c:pt>
                <c:pt idx="14">
                  <c:v>(Dreigende) vroeggeboorte</c:v>
                </c:pt>
                <c:pt idx="15">
                  <c:v>Niet-medische indicatie vrouw en kind</c:v>
                </c:pt>
                <c:pt idx="16">
                  <c:v>Fluxus</c:v>
                </c:pt>
                <c:pt idx="17">
                  <c:v>Perineumruptuur</c:v>
                </c:pt>
              </c:strCache>
            </c:strRef>
          </c:cat>
          <c:val>
            <c:numRef>
              <c:f>Regiokenmerken!$U$38:$U$55</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0165-4397-9C05-7F8ACE8FD655}"/>
            </c:ext>
          </c:extLst>
        </c:ser>
        <c:dLbls>
          <c:showLegendKey val="0"/>
          <c:showVal val="0"/>
          <c:showCatName val="0"/>
          <c:showSerName val="0"/>
          <c:showPercent val="0"/>
          <c:showBubbleSize val="0"/>
        </c:dLbls>
        <c:gapWidth val="75"/>
        <c:axId val="472293432"/>
        <c:axId val="472291792"/>
      </c:barChart>
      <c:catAx>
        <c:axId val="472293432"/>
        <c:scaling>
          <c:orientation val="maxMin"/>
        </c:scaling>
        <c:delete val="0"/>
        <c:axPos val="l"/>
        <c:numFmt formatCode="General" sourceLinked="1"/>
        <c:majorTickMark val="none"/>
        <c:minorTickMark val="none"/>
        <c:tickLblPos val="nextTo"/>
        <c:spPr>
          <a:noFill/>
          <a:effectLst/>
        </c:spPr>
        <c:txPr>
          <a:bodyPr rot="-60000000" vert="horz"/>
          <a:lstStyle/>
          <a:p>
            <a:pPr>
              <a:defRPr sz="800"/>
            </a:pPr>
            <a:endParaRPr lang="nl-NL"/>
          </a:p>
        </c:txPr>
        <c:crossAx val="472291792"/>
        <c:crosses val="autoZero"/>
        <c:auto val="1"/>
        <c:lblAlgn val="ctr"/>
        <c:lblOffset val="100"/>
        <c:noMultiLvlLbl val="0"/>
      </c:catAx>
      <c:valAx>
        <c:axId val="472291792"/>
        <c:scaling>
          <c:orientation val="minMax"/>
        </c:scaling>
        <c:delete val="1"/>
        <c:axPos val="t"/>
        <c:majorGridlines>
          <c:spPr>
            <a:ln w="9525" cap="flat" cmpd="sng" algn="ctr">
              <a:noFill/>
              <a:round/>
            </a:ln>
            <a:effectLst/>
          </c:spPr>
        </c:majorGridlines>
        <c:numFmt formatCode="#,##0" sourceLinked="1"/>
        <c:majorTickMark val="none"/>
        <c:minorTickMark val="none"/>
        <c:tickLblPos val="nextTo"/>
        <c:crossAx val="47229343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 lastClr="FFFFFF">
          <a:lumMod val="75000"/>
        </a:sysClr>
      </a:solidFill>
      <a:round/>
    </a:ln>
    <a:effectLst>
      <a:outerShdw blurRad="50800" dist="38100" dir="2700000" algn="tl" rotWithShape="0">
        <a:prstClr val="black">
          <a:alpha val="40000"/>
        </a:prstClr>
      </a:outerShdw>
    </a:effectLst>
  </c:spPr>
  <c:txPr>
    <a:bodyPr/>
    <a:lstStyle/>
    <a:p>
      <a:pPr>
        <a:defRPr sz="1200" b="0">
          <a:solidFill>
            <a:srgbClr val="000000"/>
          </a:solidFill>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sz="1200"/>
            </a:pPr>
            <a:r>
              <a:rPr lang="nl-NL"/>
              <a:t>Inkomsten</a:t>
            </a:r>
            <a:r>
              <a:rPr lang="nl-NL" baseline="0"/>
              <a:t> IGO / zorggroep / … per prestatie </a:t>
            </a:r>
            <a:br>
              <a:rPr lang="nl-NL" baseline="0"/>
            </a:br>
            <a:r>
              <a:rPr lang="nl-NL" baseline="0"/>
              <a:t>[euro x 1.000]</a:t>
            </a:r>
            <a:endParaRPr lang="nl-NL"/>
          </a:p>
        </c:rich>
      </c:tx>
      <c:layout>
        <c:manualLayout>
          <c:xMode val="edge"/>
          <c:yMode val="edge"/>
          <c:x val="0.36117251373334652"/>
          <c:y val="2.5082896657268955E-2"/>
        </c:manualLayout>
      </c:layout>
      <c:overlay val="0"/>
      <c:spPr>
        <a:noFill/>
        <a:ln>
          <a:noFill/>
        </a:ln>
        <a:effectLst/>
      </c:spPr>
    </c:title>
    <c:autoTitleDeleted val="0"/>
    <c:plotArea>
      <c:layout>
        <c:manualLayout>
          <c:layoutTarget val="inner"/>
          <c:xMode val="edge"/>
          <c:yMode val="edge"/>
          <c:x val="0.47864495149546715"/>
          <c:y val="0.17254897300664998"/>
          <c:w val="0.44915840397778084"/>
          <c:h val="0.79481607828041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wrap="square" lIns="38100" tIns="19050" rIns="38100" bIns="19050" anchor="ctr">
                <a:spAutoFit/>
              </a:bodyPr>
              <a:lstStyle/>
              <a:p>
                <a:pPr>
                  <a:defRPr sz="1000"/>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 verdeling'!$B$38:$B$46</c:f>
              <c:strCache>
                <c:ptCount val="9"/>
                <c:pt idx="0">
                  <c:v>Kraamzorg postnataal per uur</c:v>
                </c:pt>
                <c:pt idx="1">
                  <c:v>Geboortezorg prenataal</c:v>
                </c:pt>
                <c:pt idx="2">
                  <c:v>Geboortezorg nataal</c:v>
                </c:pt>
                <c:pt idx="3">
                  <c:v>Geboortezorg nataal complex</c:v>
                </c:pt>
                <c:pt idx="4">
                  <c:v>Geboortezorg postnataal</c:v>
                </c:pt>
                <c:pt idx="5">
                  <c:v>Geboortezorg prenataal complex</c:v>
                </c:pt>
                <c:pt idx="6">
                  <c:v>Begeleiding eindigend voor 16 weken zwangerschap inclusief nazorg</c:v>
                </c:pt>
                <c:pt idx="7">
                  <c:v>Geboortezorg nataal intramuraal op eigen verzoek</c:v>
                </c:pt>
                <c:pt idx="8">
                  <c:v>Geboortezorg postnataal complex</c:v>
                </c:pt>
              </c:strCache>
            </c:strRef>
          </c:cat>
          <c:val>
            <c:numRef>
              <c:f>'Uitkomsten verdeling'!$D$38:$D$46</c:f>
              <c:numCache>
                <c:formatCode>"€"#,##0_);[Red]\("€"#,##0\)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0165-4397-9C05-7F8ACE8FD655}"/>
            </c:ext>
          </c:extLst>
        </c:ser>
        <c:dLbls>
          <c:showLegendKey val="0"/>
          <c:showVal val="0"/>
          <c:showCatName val="0"/>
          <c:showSerName val="0"/>
          <c:showPercent val="0"/>
          <c:showBubbleSize val="0"/>
        </c:dLbls>
        <c:gapWidth val="75"/>
        <c:axId val="472293432"/>
        <c:axId val="472291792"/>
      </c:barChart>
      <c:catAx>
        <c:axId val="472293432"/>
        <c:scaling>
          <c:orientation val="maxMin"/>
        </c:scaling>
        <c:delete val="0"/>
        <c:axPos val="l"/>
        <c:numFmt formatCode="General" sourceLinked="1"/>
        <c:majorTickMark val="none"/>
        <c:minorTickMark val="none"/>
        <c:tickLblPos val="nextTo"/>
        <c:spPr>
          <a:noFill/>
          <a:effectLst/>
        </c:spPr>
        <c:txPr>
          <a:bodyPr rot="-60000000" vert="horz"/>
          <a:lstStyle/>
          <a:p>
            <a:pPr>
              <a:defRPr sz="1000"/>
            </a:pPr>
            <a:endParaRPr lang="nl-NL"/>
          </a:p>
        </c:txPr>
        <c:crossAx val="472291792"/>
        <c:crosses val="autoZero"/>
        <c:auto val="1"/>
        <c:lblAlgn val="ctr"/>
        <c:lblOffset val="100"/>
        <c:noMultiLvlLbl val="0"/>
      </c:catAx>
      <c:valAx>
        <c:axId val="472291792"/>
        <c:scaling>
          <c:orientation val="minMax"/>
        </c:scaling>
        <c:delete val="1"/>
        <c:axPos val="t"/>
        <c:majorGridlines>
          <c:spPr>
            <a:ln w="9525" cap="flat" cmpd="sng" algn="ctr">
              <a:noFill/>
              <a:round/>
            </a:ln>
            <a:effectLst/>
          </c:spPr>
        </c:majorGridlines>
        <c:numFmt formatCode="&quot;€&quot;#,##0_);[Red]\(&quot;€&quot;#,##0\)" sourceLinked="1"/>
        <c:majorTickMark val="none"/>
        <c:minorTickMark val="none"/>
        <c:tickLblPos val="nextTo"/>
        <c:crossAx val="47229343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 lastClr="FFFFFF">
          <a:lumMod val="75000"/>
        </a:sysClr>
      </a:solidFill>
      <a:round/>
    </a:ln>
    <a:effectLst>
      <a:outerShdw blurRad="50800" dist="38100" dir="2700000" algn="tl" rotWithShape="0">
        <a:prstClr val="black">
          <a:alpha val="40000"/>
        </a:prstClr>
      </a:outerShdw>
    </a:effectLst>
  </c:spPr>
  <c:txPr>
    <a:bodyPr/>
    <a:lstStyle/>
    <a:p>
      <a:pPr>
        <a:defRPr sz="1200" b="0">
          <a:solidFill>
            <a:srgbClr val="000000"/>
          </a:solidFill>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sz="1200"/>
            </a:pPr>
            <a:r>
              <a:rPr lang="nl-NL" sz="1200"/>
              <a:t>Verdeling omzet IGO / zorggroep / …</a:t>
            </a:r>
          </a:p>
          <a:p>
            <a:pPr>
              <a:defRPr sz="1200"/>
            </a:pPr>
            <a:r>
              <a:rPr lang="nl-NL" sz="1200"/>
              <a:t>[euro x 1.000 | percentage]</a:t>
            </a:r>
          </a:p>
        </c:rich>
      </c:tx>
      <c:overlay val="0"/>
      <c:spPr>
        <a:noFill/>
        <a:ln>
          <a:noFill/>
        </a:ln>
        <a:effectLst/>
      </c:spPr>
    </c:title>
    <c:autoTitleDeleted val="0"/>
    <c:plotArea>
      <c:layout>
        <c:manualLayout>
          <c:layoutTarget val="inner"/>
          <c:xMode val="edge"/>
          <c:yMode val="edge"/>
          <c:x val="4.6604178427203248E-2"/>
          <c:y val="0.24883833923632293"/>
          <c:w val="0.62864554774204517"/>
          <c:h val="0.5746259495445255"/>
        </c:manualLayout>
      </c:layout>
      <c:pieChart>
        <c:varyColors val="1"/>
        <c:ser>
          <c:idx val="0"/>
          <c:order val="0"/>
          <c:tx>
            <c:strRef>
              <c:f>'Uitkomsten verdeling'!$H$37</c:f>
              <c:strCache>
                <c:ptCount val="1"/>
                <c:pt idx="0">
                  <c:v>Omzetverdeling naar post / zorgaanbieder</c:v>
                </c:pt>
              </c:strCache>
            </c:strRef>
          </c:tx>
          <c:dPt>
            <c:idx val="0"/>
            <c:bubble3D val="0"/>
            <c:spPr>
              <a:solidFill>
                <a:schemeClr val="accent1"/>
              </a:solidFill>
              <a:ln>
                <a:noFill/>
              </a:ln>
              <a:effectLst/>
            </c:spPr>
            <c:extLst>
              <c:ext xmlns:c16="http://schemas.microsoft.com/office/drawing/2014/chart" uri="{C3380CC4-5D6E-409C-BE32-E72D297353CC}">
                <c16:uniqueId val="{00000001-7870-4CFC-8750-D65290D89B2D}"/>
              </c:ext>
            </c:extLst>
          </c:dPt>
          <c:dPt>
            <c:idx val="1"/>
            <c:bubble3D val="0"/>
            <c:spPr>
              <a:solidFill>
                <a:schemeClr val="accent2"/>
              </a:solidFill>
              <a:ln>
                <a:noFill/>
              </a:ln>
              <a:effectLst/>
            </c:spPr>
            <c:extLst>
              <c:ext xmlns:c16="http://schemas.microsoft.com/office/drawing/2014/chart" uri="{C3380CC4-5D6E-409C-BE32-E72D297353CC}">
                <c16:uniqueId val="{00000003-7870-4CFC-8750-D65290D89B2D}"/>
              </c:ext>
            </c:extLst>
          </c:dPt>
          <c:dPt>
            <c:idx val="2"/>
            <c:bubble3D val="0"/>
            <c:spPr>
              <a:solidFill>
                <a:schemeClr val="accent3"/>
              </a:solidFill>
              <a:ln>
                <a:noFill/>
              </a:ln>
              <a:effectLst/>
            </c:spPr>
            <c:extLst>
              <c:ext xmlns:c16="http://schemas.microsoft.com/office/drawing/2014/chart" uri="{C3380CC4-5D6E-409C-BE32-E72D297353CC}">
                <c16:uniqueId val="{00000005-7870-4CFC-8750-D65290D89B2D}"/>
              </c:ext>
            </c:extLst>
          </c:dPt>
          <c:dPt>
            <c:idx val="3"/>
            <c:bubble3D val="0"/>
            <c:spPr>
              <a:solidFill>
                <a:schemeClr val="accent4"/>
              </a:solidFill>
              <a:ln>
                <a:noFill/>
              </a:ln>
              <a:effectLst/>
            </c:spPr>
            <c:extLst>
              <c:ext xmlns:c16="http://schemas.microsoft.com/office/drawing/2014/chart" uri="{C3380CC4-5D6E-409C-BE32-E72D297353CC}">
                <c16:uniqueId val="{00000007-7870-4CFC-8750-D65290D89B2D}"/>
              </c:ext>
            </c:extLst>
          </c:dPt>
          <c:dPt>
            <c:idx val="4"/>
            <c:bubble3D val="0"/>
            <c:spPr>
              <a:solidFill>
                <a:schemeClr val="accent5"/>
              </a:solidFill>
              <a:ln>
                <a:noFill/>
              </a:ln>
              <a:effectLst/>
            </c:spPr>
            <c:extLst>
              <c:ext xmlns:c16="http://schemas.microsoft.com/office/drawing/2014/chart" uri="{C3380CC4-5D6E-409C-BE32-E72D297353CC}">
                <c16:uniqueId val="{00000009-7870-4CFC-8750-D65290D89B2D}"/>
              </c:ext>
            </c:extLst>
          </c:dPt>
          <c:dPt>
            <c:idx val="5"/>
            <c:bubble3D val="0"/>
            <c:spPr>
              <a:solidFill>
                <a:schemeClr val="accent6"/>
              </a:solidFill>
              <a:ln>
                <a:noFill/>
              </a:ln>
              <a:effectLst/>
            </c:spPr>
            <c:extLst>
              <c:ext xmlns:c16="http://schemas.microsoft.com/office/drawing/2014/chart" uri="{C3380CC4-5D6E-409C-BE32-E72D297353CC}">
                <c16:uniqueId val="{0000000B-7870-4CFC-8750-D65290D89B2D}"/>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7870-4CFC-8750-D65290D89B2D}"/>
              </c:ext>
            </c:extLst>
          </c:dPt>
          <c:dLbls>
            <c:dLbl>
              <c:idx val="0"/>
              <c:spPr>
                <a:noFill/>
                <a:ln>
                  <a:noFill/>
                </a:ln>
                <a:effectLst/>
              </c:spPr>
              <c:txPr>
                <a:bodyPr rot="0" vert="horz"/>
                <a:lstStyle/>
                <a:p>
                  <a:pPr>
                    <a:defRPr sz="1000">
                      <a:solidFill>
                        <a:schemeClr val="bg1"/>
                      </a:solidFill>
                    </a:defRPr>
                  </a:pPr>
                  <a:endParaRPr lang="nl-NL"/>
                </a:p>
              </c:txPr>
              <c:dLblPos val="bestFit"/>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870-4CFC-8750-D65290D89B2D}"/>
                </c:ext>
              </c:extLst>
            </c:dLbl>
            <c:dLbl>
              <c:idx val="1"/>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870-4CFC-8750-D65290D89B2D}"/>
                </c:ext>
              </c:extLst>
            </c:dLbl>
            <c:dLbl>
              <c:idx val="2"/>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7870-4CFC-8750-D65290D89B2D}"/>
                </c:ext>
              </c:extLst>
            </c:dLbl>
            <c:dLbl>
              <c:idx val="3"/>
              <c:layout>
                <c:manualLayout>
                  <c:x val="3.1537256056731182E-2"/>
                  <c:y val="3.9805183723598007E-3"/>
                </c:manualLayout>
              </c:layout>
              <c:spPr>
                <a:noFill/>
                <a:ln>
                  <a:noFill/>
                </a:ln>
                <a:effectLst/>
              </c:spPr>
              <c:txPr>
                <a:bodyPr wrap="square" lIns="38100" tIns="19050" rIns="38100" bIns="19050" anchor="ctr">
                  <a:spAutoFit/>
                </a:bodyPr>
                <a:lstStyle/>
                <a:p>
                  <a:pPr>
                    <a:defRPr sz="1000"/>
                  </a:pPr>
                  <a:endParaRPr lang="nl-NL"/>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870-4CFC-8750-D65290D89B2D}"/>
                </c:ext>
              </c:extLst>
            </c:dLbl>
            <c:dLbl>
              <c:idx val="4"/>
              <c:delete val="1"/>
              <c:extLst>
                <c:ext xmlns:c15="http://schemas.microsoft.com/office/drawing/2012/chart" uri="{CE6537A1-D6FC-4f65-9D91-7224C49458BB}"/>
                <c:ext xmlns:c16="http://schemas.microsoft.com/office/drawing/2014/chart" uri="{C3380CC4-5D6E-409C-BE32-E72D297353CC}">
                  <c16:uniqueId val="{00000009-7870-4CFC-8750-D65290D89B2D}"/>
                </c:ext>
              </c:extLst>
            </c:dLbl>
            <c:dLbl>
              <c:idx val="5"/>
              <c:delete val="1"/>
              <c:extLst>
                <c:ext xmlns:c15="http://schemas.microsoft.com/office/drawing/2012/chart" uri="{CE6537A1-D6FC-4f65-9D91-7224C49458BB}"/>
                <c:ext xmlns:c16="http://schemas.microsoft.com/office/drawing/2014/chart" uri="{C3380CC4-5D6E-409C-BE32-E72D297353CC}">
                  <c16:uniqueId val="{0000000B-7870-4CFC-8750-D65290D89B2D}"/>
                </c:ext>
              </c:extLst>
            </c:dLbl>
            <c:dLbl>
              <c:idx val="6"/>
              <c:delete val="1"/>
              <c:extLst>
                <c:ext xmlns:c15="http://schemas.microsoft.com/office/drawing/2012/chart" uri="{CE6537A1-D6FC-4f65-9D91-7224C49458BB}"/>
                <c:ext xmlns:c16="http://schemas.microsoft.com/office/drawing/2014/chart" uri="{C3380CC4-5D6E-409C-BE32-E72D297353CC}">
                  <c16:uniqueId val="{0000000D-7870-4CFC-8750-D65290D89B2D}"/>
                </c:ext>
              </c:extLst>
            </c:dLbl>
            <c:dLbl>
              <c:idx val="7"/>
              <c:delete val="1"/>
              <c:extLst>
                <c:ext xmlns:c15="http://schemas.microsoft.com/office/drawing/2012/chart" uri="{CE6537A1-D6FC-4f65-9D91-7224C49458BB}"/>
                <c:ext xmlns:c16="http://schemas.microsoft.com/office/drawing/2014/chart" uri="{C3380CC4-5D6E-409C-BE32-E72D297353CC}">
                  <c16:uniqueId val="{00000021-8ACF-46E7-9D75-41DDF8D93EB0}"/>
                </c:ext>
              </c:extLst>
            </c:dLbl>
            <c:spPr>
              <a:noFill/>
              <a:ln>
                <a:noFill/>
              </a:ln>
              <a:effectLst/>
            </c:spPr>
            <c:txPr>
              <a:bodyPr rot="0" vert="horz"/>
              <a:lstStyle/>
              <a:p>
                <a:pPr>
                  <a:defRPr sz="1000"/>
                </a:pPr>
                <a:endParaRPr lang="nl-NL"/>
              </a:p>
            </c:txPr>
            <c:dLblPos val="bestFit"/>
            <c:showLegendKey val="0"/>
            <c:showVal val="0"/>
            <c:showCatName val="1"/>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rect">
                    <a:avLst/>
                  </a:prstGeom>
                </c15:spPr>
              </c:ext>
            </c:extLst>
          </c:dLbls>
          <c:cat>
            <c:strRef>
              <c:f>'Uitkomsten verdeling'!$G$38:$G$44</c:f>
              <c:strCache>
                <c:ptCount val="7"/>
                <c:pt idx="0">
                  <c:v>Ziekenhuis</c:v>
                </c:pt>
                <c:pt idx="1">
                  <c:v>Kraamzorg</c:v>
                </c:pt>
                <c:pt idx="2">
                  <c:v>Eerstelijnsverloskunde</c:v>
                </c:pt>
                <c:pt idx="3">
                  <c:v>Activiteiten buiten IGO</c:v>
                </c:pt>
                <c:pt idx="4">
                  <c:v>Beheerskosten IGO</c:v>
                </c:pt>
                <c:pt idx="5">
                  <c:v>Innovatie- en kwaliteitsprojecten</c:v>
                </c:pt>
                <c:pt idx="6">
                  <c:v>Overige kosten</c:v>
                </c:pt>
              </c:strCache>
            </c:strRef>
          </c:cat>
          <c:val>
            <c:numRef>
              <c:f>'Uitkomsten verdeling'!$H$38:$H$44</c:f>
              <c:numCache>
                <c:formatCode>"€"#,##0_);[Red]\("€"#,##0\)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7870-4CFC-8750-D65290D89B2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03681010764231"/>
          <c:y val="0.23254939838472691"/>
          <c:w val="0.28203534535647529"/>
          <c:h val="0.58816431909178912"/>
        </c:manualLayout>
      </c:layout>
      <c:overlay val="0"/>
      <c:txPr>
        <a:bodyPr/>
        <a:lstStyle/>
        <a:p>
          <a:pPr>
            <a:defRPr sz="1000"/>
          </a:pPr>
          <a:endParaRPr lang="nl-NL"/>
        </a:p>
      </c:txPr>
    </c:legend>
    <c:plotVisOnly val="1"/>
    <c:dispBlanksAs val="gap"/>
    <c:showDLblsOverMax val="0"/>
  </c:chart>
  <c:spPr>
    <a:solidFill>
      <a:schemeClr val="bg1"/>
    </a:solidFill>
    <a:ln w="9525" cap="flat" cmpd="sng" algn="ctr">
      <a:solidFill>
        <a:sysClr val="window" lastClr="FFFFFF">
          <a:lumMod val="65000"/>
        </a:sysClr>
      </a:solidFill>
      <a:round/>
    </a:ln>
    <a:effectLst>
      <a:outerShdw blurRad="50800" dist="38100" dir="2700000" algn="tl" rotWithShape="0">
        <a:prstClr val="black">
          <a:alpha val="40000"/>
        </a:prstClr>
      </a:outerShdw>
    </a:effectLst>
  </c:spPr>
  <c:txPr>
    <a:bodyPr/>
    <a:lstStyle/>
    <a:p>
      <a:pPr>
        <a:defRPr lang="en-US" sz="1200" b="0" i="0" u="none" strike="noStrike" kern="1200" baseline="0">
          <a:solidFill>
            <a:srgbClr val="000000"/>
          </a:solidFill>
          <a:latin typeface="+mn-lt"/>
          <a:ea typeface="+mn-ea"/>
          <a:cs typeface="+mn-cs"/>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nl-NL"/>
              <a:t>Omzet per ziekenhuis </a:t>
            </a:r>
            <a:br>
              <a:rPr lang="nl-NL"/>
            </a:br>
            <a:r>
              <a:rPr lang="nl-NL"/>
              <a:t>[Euro x 1.000]</a:t>
            </a:r>
          </a:p>
        </c:rich>
      </c:tx>
      <c:overlay val="0"/>
    </c:title>
    <c:autoTitleDeleted val="0"/>
    <c:plotArea>
      <c:layout>
        <c:manualLayout>
          <c:layoutTarget val="inner"/>
          <c:xMode val="edge"/>
          <c:yMode val="edge"/>
          <c:x val="0.37561740581695208"/>
          <c:y val="0.1117152169747713"/>
          <c:w val="0.61462466505828606"/>
          <c:h val="0.86834609367717253"/>
        </c:manualLayout>
      </c:layout>
      <c:barChart>
        <c:barDir val="bar"/>
        <c:grouping val="stacked"/>
        <c:varyColors val="0"/>
        <c:ser>
          <c:idx val="0"/>
          <c:order val="0"/>
          <c:tx>
            <c:strRef>
              <c:f>'Uitkomsten verdeling'!$K$37</c:f>
              <c:strCache>
                <c:ptCount val="1"/>
                <c:pt idx="0">
                  <c:v>Omzet zorgaanbieder</c:v>
                </c:pt>
              </c:strCache>
            </c:strRef>
          </c:tx>
          <c:spPr>
            <a:solidFill>
              <a:schemeClr val="accent1"/>
            </a:solidFill>
            <a:ln>
              <a:noFill/>
            </a:ln>
            <a:effectLst/>
          </c:spPr>
          <c:invertIfNegative val="0"/>
          <c:dLbls>
            <c:dLbl>
              <c:idx val="0"/>
              <c:tx>
                <c:rich>
                  <a:bodyPr/>
                  <a:lstStyle/>
                  <a:p>
                    <a:fld id="{F75A177C-D2FB-43CB-B358-D5A36216505C}" type="CELLRANGE">
                      <a:rPr lang="en-US" baseline="0"/>
                      <a:pPr/>
                      <a:t>[CELLRANGE]</a:t>
                    </a:fld>
                    <a:r>
                      <a:rPr lang="en-US" baseline="0"/>
                      <a:t>; </a:t>
                    </a:r>
                    <a:fld id="{10D1F081-0160-4994-A082-E66666014C1A}" type="VALUE">
                      <a:rPr lang="en-US" baseline="0"/>
                      <a:pPr/>
                      <a:t>[WAARDE]</a:t>
                    </a:fld>
                    <a:endParaRPr lang="en-US" baseline="0"/>
                  </a:p>
                </c:rich>
              </c:tx>
              <c:dLblPos val="inBase"/>
              <c:showLegendKey val="0"/>
              <c:showVal val="1"/>
              <c:showCatName val="0"/>
              <c:showSerName val="0"/>
              <c:showPercent val="0"/>
              <c:showBubbleSize val="0"/>
              <c:extLst>
                <c:ext xmlns:c15="http://schemas.microsoft.com/office/drawing/2012/chart" uri="{CE6537A1-D6FC-4f65-9D91-7224C49458BB}">
                  <c15:layout>
                    <c:manualLayout>
                      <c:w val="0.35703419581048895"/>
                      <c:h val="9.6111209614429274E-2"/>
                    </c:manualLayout>
                  </c15:layout>
                  <c15:dlblFieldTable/>
                  <c15:showDataLabelsRange val="1"/>
                </c:ext>
                <c:ext xmlns:c16="http://schemas.microsoft.com/office/drawing/2014/chart" uri="{C3380CC4-5D6E-409C-BE32-E72D297353CC}">
                  <c16:uniqueId val="{00000005-A4EC-488E-B854-6F7093702B93}"/>
                </c:ext>
              </c:extLst>
            </c:dLbl>
            <c:dLbl>
              <c:idx val="1"/>
              <c:tx>
                <c:rich>
                  <a:bodyPr/>
                  <a:lstStyle/>
                  <a:p>
                    <a:fld id="{7272A8DB-7C3E-4D69-87F1-0883E394FEEA}" type="CELLRANGE">
                      <a:rPr lang="en-US" baseline="0"/>
                      <a:pPr/>
                      <a:t>[CELLRANGE]</a:t>
                    </a:fld>
                    <a:r>
                      <a:rPr lang="en-US" baseline="0"/>
                      <a:t>; </a:t>
                    </a:r>
                    <a:fld id="{BDDA42F8-EC5E-49B0-B09E-A2B4B4547A2D}" type="VALUE">
                      <a:rPr lang="en-US" baseline="0"/>
                      <a:pPr/>
                      <a:t>[WAARDE]</a:t>
                    </a:fld>
                    <a:endParaRPr lang="en-US" baseline="0"/>
                  </a:p>
                </c:rich>
              </c:tx>
              <c:dLblPos val="inBase"/>
              <c:showLegendKey val="0"/>
              <c:showVal val="1"/>
              <c:showCatName val="0"/>
              <c:showSerName val="0"/>
              <c:showPercent val="0"/>
              <c:showBubbleSize val="0"/>
              <c:extLst>
                <c:ext xmlns:c15="http://schemas.microsoft.com/office/drawing/2012/chart" uri="{CE6537A1-D6FC-4f65-9D91-7224C49458BB}">
                  <c15:layout>
                    <c:manualLayout>
                      <c:w val="0.34609732352344691"/>
                      <c:h val="9.6111209614429274E-2"/>
                    </c:manualLayout>
                  </c15:layout>
                  <c15:dlblFieldTable/>
                  <c15:showDataLabelsRange val="1"/>
                </c:ext>
                <c:ext xmlns:c16="http://schemas.microsoft.com/office/drawing/2014/chart" uri="{C3380CC4-5D6E-409C-BE32-E72D297353CC}">
                  <c16:uniqueId val="{00000006-A4EC-488E-B854-6F7093702B93}"/>
                </c:ext>
              </c:extLst>
            </c:dLbl>
            <c:dLbl>
              <c:idx val="2"/>
              <c:tx>
                <c:rich>
                  <a:bodyPr/>
                  <a:lstStyle/>
                  <a:p>
                    <a:fld id="{30DFEDEB-E3EE-43DD-9AD2-A7FD7B7F9BB7}" type="CELLRANGE">
                      <a:rPr lang="en-US" baseline="0"/>
                      <a:pPr/>
                      <a:t>[CELLRANGE]</a:t>
                    </a:fld>
                    <a:r>
                      <a:rPr lang="en-US" baseline="0"/>
                      <a:t>; </a:t>
                    </a:r>
                    <a:fld id="{36C259F0-D9A2-4EFC-BD7C-9AC3E36AD8C8}" type="VALUE">
                      <a:rPr lang="en-US" baseline="0"/>
                      <a:pPr/>
                      <a:t>[WAARDE]</a:t>
                    </a:fld>
                    <a:endParaRPr lang="en-US" baseline="0"/>
                  </a:p>
                </c:rich>
              </c:tx>
              <c:dLblPos val="inBase"/>
              <c:showLegendKey val="0"/>
              <c:showVal val="1"/>
              <c:showCatName val="0"/>
              <c:showSerName val="0"/>
              <c:showPercent val="0"/>
              <c:showBubbleSize val="0"/>
              <c:extLst>
                <c:ext xmlns:c15="http://schemas.microsoft.com/office/drawing/2012/chart" uri="{CE6537A1-D6FC-4f65-9D91-7224C49458BB}">
                  <c15:layout>
                    <c:manualLayout>
                      <c:w val="0.27325401606425698"/>
                      <c:h val="6.6307331540106207E-2"/>
                    </c:manualLayout>
                  </c15:layout>
                  <c15:dlblFieldTable/>
                  <c15:showDataLabelsRange val="1"/>
                </c:ext>
                <c:ext xmlns:c16="http://schemas.microsoft.com/office/drawing/2014/chart" uri="{C3380CC4-5D6E-409C-BE32-E72D297353CC}">
                  <c16:uniqueId val="{00000007-A4EC-488E-B854-6F7093702B93}"/>
                </c:ext>
              </c:extLst>
            </c:dLbl>
            <c:dLbl>
              <c:idx val="3"/>
              <c:dLblPos val="inBase"/>
              <c:showLegendKey val="0"/>
              <c:showVal val="1"/>
              <c:showCatName val="0"/>
              <c:showSerName val="0"/>
              <c:showPercent val="0"/>
              <c:showBubbleSize val="0"/>
              <c:extLst>
                <c:ext xmlns:c15="http://schemas.microsoft.com/office/drawing/2012/chart" uri="{CE6537A1-D6FC-4f65-9D91-7224C49458BB}">
                  <c15:layout>
                    <c:manualLayout>
                      <c:w val="0.25625267737617136"/>
                      <c:h val="6.6307331540106207E-2"/>
                    </c:manualLayout>
                  </c15:layout>
                  <c15:showDataLabelsRange val="1"/>
                </c:ext>
                <c:ext xmlns:c16="http://schemas.microsoft.com/office/drawing/2014/chart" uri="{C3380CC4-5D6E-409C-BE32-E72D297353CC}">
                  <c16:uniqueId val="{00000008-A4EC-488E-B854-6F7093702B93}"/>
                </c:ext>
              </c:extLst>
            </c:dLbl>
            <c:spPr>
              <a:noFill/>
              <a:ln>
                <a:noFill/>
              </a:ln>
              <a:effectLst/>
            </c:spPr>
            <c:txPr>
              <a:bodyPr wrap="none"/>
              <a:lstStyle/>
              <a:p>
                <a:pPr>
                  <a:defRPr sz="1000">
                    <a:solidFill>
                      <a:schemeClr val="bg1">
                        <a:lumMod val="75000"/>
                      </a:schemeClr>
                    </a:solidFill>
                  </a:defRPr>
                </a:pPr>
                <a:endParaRPr lang="nl-NL"/>
              </a:p>
            </c:txPr>
            <c:dLblPos val="inBase"/>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'Uitkomsten verdeling'!$J$38:$J$40</c:f>
              <c:strCache>
                <c:ptCount val="3"/>
                <c:pt idx="0">
                  <c:v>TestZkh1</c:v>
                </c:pt>
                <c:pt idx="1">
                  <c:v>TestZkh2</c:v>
                </c:pt>
                <c:pt idx="2">
                  <c:v>TestZkh3</c:v>
                </c:pt>
              </c:strCache>
            </c:strRef>
          </c:cat>
          <c:val>
            <c:numRef>
              <c:f>'Uitkomsten verdeling'!$K$38:$K$40</c:f>
              <c:numCache>
                <c:formatCode>"€"#,##0_);[Red]\("€"#,##0\)</c:formatCode>
                <c:ptCount val="3"/>
                <c:pt idx="0">
                  <c:v>0</c:v>
                </c:pt>
                <c:pt idx="1">
                  <c:v>0</c:v>
                </c:pt>
                <c:pt idx="2">
                  <c:v>0</c:v>
                </c:pt>
              </c:numCache>
            </c:numRef>
          </c:val>
          <c:extLst>
            <c:ext xmlns:c15="http://schemas.microsoft.com/office/drawing/2012/chart" uri="{02D57815-91ED-43cb-92C2-25804820EDAC}">
              <c15:datalabelsRange>
                <c15:f>'Uitkomsten verdeling'!$L$38:$L$40</c15:f>
                <c15:dlblRangeCache>
                  <c:ptCount val="3"/>
                  <c:pt idx="0">
                    <c:v>0</c:v>
                  </c:pt>
                  <c:pt idx="1">
                    <c:v>0</c:v>
                  </c:pt>
                  <c:pt idx="2">
                    <c:v>0</c:v>
                  </c:pt>
                </c15:dlblRangeCache>
              </c15:datalabelsRange>
            </c:ext>
            <c:ext xmlns:c16="http://schemas.microsoft.com/office/drawing/2014/chart" uri="{C3380CC4-5D6E-409C-BE32-E72D297353CC}">
              <c16:uniqueId val="{00000000-7D55-4E2D-97A9-B653D9AC801D}"/>
            </c:ext>
          </c:extLst>
        </c:ser>
        <c:dLbls>
          <c:showLegendKey val="0"/>
          <c:showVal val="0"/>
          <c:showCatName val="0"/>
          <c:showSerName val="0"/>
          <c:showPercent val="0"/>
          <c:showBubbleSize val="0"/>
        </c:dLbls>
        <c:gapWidth val="75"/>
        <c:overlap val="100"/>
        <c:axId val="472293432"/>
        <c:axId val="472291792"/>
      </c:barChart>
      <c:catAx>
        <c:axId val="472293432"/>
        <c:scaling>
          <c:orientation val="maxMin"/>
        </c:scaling>
        <c:delete val="0"/>
        <c:axPos val="l"/>
        <c:numFmt formatCode="General" sourceLinked="1"/>
        <c:majorTickMark val="none"/>
        <c:minorTickMark val="none"/>
        <c:tickLblPos val="nextTo"/>
        <c:spPr>
          <a:noFill/>
          <a:effectLst/>
        </c:spPr>
        <c:txPr>
          <a:bodyPr rot="-60000000" vert="horz"/>
          <a:lstStyle/>
          <a:p>
            <a:pPr>
              <a:defRPr sz="1000"/>
            </a:pPr>
            <a:endParaRPr lang="nl-NL"/>
          </a:p>
        </c:txPr>
        <c:crossAx val="472291792"/>
        <c:crosses val="autoZero"/>
        <c:auto val="1"/>
        <c:lblAlgn val="ctr"/>
        <c:lblOffset val="100"/>
        <c:noMultiLvlLbl val="0"/>
      </c:catAx>
      <c:valAx>
        <c:axId val="472291792"/>
        <c:scaling>
          <c:orientation val="minMax"/>
        </c:scaling>
        <c:delete val="1"/>
        <c:axPos val="t"/>
        <c:majorGridlines>
          <c:spPr>
            <a:ln w="9525" cap="flat" cmpd="sng" algn="ctr">
              <a:noFill/>
              <a:round/>
            </a:ln>
            <a:effectLst/>
          </c:spPr>
        </c:majorGridlines>
        <c:numFmt formatCode="&quot;€&quot;#,##0_);[Red]\(&quot;€&quot;#,##0\)" sourceLinked="1"/>
        <c:majorTickMark val="none"/>
        <c:minorTickMark val="none"/>
        <c:tickLblPos val="nextTo"/>
        <c:crossAx val="47229343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 lastClr="FFFFFF">
          <a:lumMod val="75000"/>
        </a:sysClr>
      </a:solidFill>
      <a:round/>
    </a:ln>
    <a:effectLst>
      <a:outerShdw blurRad="50800" dist="38100" dir="2700000" algn="tl" rotWithShape="0">
        <a:prstClr val="black">
          <a:alpha val="40000"/>
        </a:prstClr>
      </a:outerShdw>
    </a:effectLst>
  </c:spPr>
  <c:txPr>
    <a:bodyPr/>
    <a:lstStyle/>
    <a:p>
      <a:pPr>
        <a:defRPr sz="1200" b="0">
          <a:solidFill>
            <a:srgbClr val="000000"/>
          </a:solidFill>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image" Target="../media/image3.svg"/><Relationship Id="rId7" Type="http://schemas.openxmlformats.org/officeDocument/2006/relationships/chart" Target="../charts/chart9.xml"/><Relationship Id="rId2" Type="http://schemas.openxmlformats.org/officeDocument/2006/relationships/image" Target="../media/image2.png"/><Relationship Id="rId1" Type="http://schemas.openxmlformats.org/officeDocument/2006/relationships/chart" Target="../charts/chart7.xml"/><Relationship Id="rId6" Type="http://schemas.openxmlformats.org/officeDocument/2006/relationships/chart" Target="../charts/chart8.xml"/><Relationship Id="rId5" Type="http://schemas.openxmlformats.org/officeDocument/2006/relationships/image" Target="../media/image5.svg"/><Relationship Id="rId10" Type="http://schemas.openxmlformats.org/officeDocument/2006/relationships/image" Target="../media/image1.png"/><Relationship Id="rId4" Type="http://schemas.openxmlformats.org/officeDocument/2006/relationships/image" Target="../media/image4.png"/><Relationship Id="rId9"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40821</xdr:colOff>
      <xdr:row>1</xdr:row>
      <xdr:rowOff>108858</xdr:rowOff>
    </xdr:from>
    <xdr:to>
      <xdr:col>15</xdr:col>
      <xdr:colOff>918481</xdr:colOff>
      <xdr:row>3</xdr:row>
      <xdr:rowOff>147523</xdr:rowOff>
    </xdr:to>
    <xdr:pic>
      <xdr:nvPicPr>
        <xdr:cNvPr id="3" name="Picture 2">
          <a:extLst>
            <a:ext uri="{FF2B5EF4-FFF2-40B4-BE49-F238E27FC236}">
              <a16:creationId xmlns:a16="http://schemas.microsoft.com/office/drawing/2014/main" id="{3F4BB436-92B2-418C-8D1A-8AD21E2200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3232" y="319769"/>
          <a:ext cx="3027589" cy="5081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41</xdr:col>
      <xdr:colOff>102053</xdr:colOff>
      <xdr:row>0</xdr:row>
      <xdr:rowOff>61232</xdr:rowOff>
    </xdr:from>
    <xdr:to>
      <xdr:col>43</xdr:col>
      <xdr:colOff>938892</xdr:colOff>
      <xdr:row>2</xdr:row>
      <xdr:rowOff>86289</xdr:rowOff>
    </xdr:to>
    <xdr:pic>
      <xdr:nvPicPr>
        <xdr:cNvPr id="2" name="Picture 1">
          <a:extLst>
            <a:ext uri="{FF2B5EF4-FFF2-40B4-BE49-F238E27FC236}">
              <a16:creationId xmlns:a16="http://schemas.microsoft.com/office/drawing/2014/main" id="{37500CB6-A54D-445D-A1A9-F39B28B346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1053" y="61232"/>
          <a:ext cx="3027589" cy="508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8003</xdr:colOff>
      <xdr:row>5</xdr:row>
      <xdr:rowOff>70756</xdr:rowOff>
    </xdr:from>
    <xdr:to>
      <xdr:col>15</xdr:col>
      <xdr:colOff>7283</xdr:colOff>
      <xdr:row>31</xdr:row>
      <xdr:rowOff>158934</xdr:rowOff>
    </xdr:to>
    <xdr:graphicFrame macro="">
      <xdr:nvGraphicFramePr>
        <xdr:cNvPr id="2" name="Chart 1">
          <a:extLst>
            <a:ext uri="{FF2B5EF4-FFF2-40B4-BE49-F238E27FC236}">
              <a16:creationId xmlns:a16="http://schemas.microsoft.com/office/drawing/2014/main" id="{99B0C11C-89B9-4FCB-A141-6B8950E60F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741588</xdr:colOff>
      <xdr:row>5</xdr:row>
      <xdr:rowOff>70756</xdr:rowOff>
    </xdr:from>
    <xdr:to>
      <xdr:col>3</xdr:col>
      <xdr:colOff>0</xdr:colOff>
      <xdr:row>31</xdr:row>
      <xdr:rowOff>158934</xdr:rowOff>
    </xdr:to>
    <xdr:graphicFrame macro="">
      <xdr:nvGraphicFramePr>
        <xdr:cNvPr id="3" name="Chart 2">
          <a:extLst>
            <a:ext uri="{FF2B5EF4-FFF2-40B4-BE49-F238E27FC236}">
              <a16:creationId xmlns:a16="http://schemas.microsoft.com/office/drawing/2014/main" id="{DFED4A81-7B9A-4762-AC5B-A176D6E5A4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88446</xdr:colOff>
      <xdr:row>5</xdr:row>
      <xdr:rowOff>70756</xdr:rowOff>
    </xdr:from>
    <xdr:to>
      <xdr:col>9</xdr:col>
      <xdr:colOff>13606</xdr:colOff>
      <xdr:row>31</xdr:row>
      <xdr:rowOff>158934</xdr:rowOff>
    </xdr:to>
    <xdr:graphicFrame macro="">
      <xdr:nvGraphicFramePr>
        <xdr:cNvPr id="4" name="Chart 3">
          <a:extLst>
            <a:ext uri="{FF2B5EF4-FFF2-40B4-BE49-F238E27FC236}">
              <a16:creationId xmlns:a16="http://schemas.microsoft.com/office/drawing/2014/main" id="{3C0BC758-D76C-4496-B692-25D4CC05C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393808</xdr:colOff>
      <xdr:row>5</xdr:row>
      <xdr:rowOff>70755</xdr:rowOff>
    </xdr:from>
    <xdr:to>
      <xdr:col>18</xdr:col>
      <xdr:colOff>27215</xdr:colOff>
      <xdr:row>18</xdr:row>
      <xdr:rowOff>42255</xdr:rowOff>
    </xdr:to>
    <xdr:graphicFrame macro="">
      <xdr:nvGraphicFramePr>
        <xdr:cNvPr id="5" name="Chart 4">
          <a:extLst>
            <a:ext uri="{FF2B5EF4-FFF2-40B4-BE49-F238E27FC236}">
              <a16:creationId xmlns:a16="http://schemas.microsoft.com/office/drawing/2014/main" id="{228A9C23-35FD-4C58-834C-0471DCACC1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393808</xdr:colOff>
      <xdr:row>18</xdr:row>
      <xdr:rowOff>187434</xdr:rowOff>
    </xdr:from>
    <xdr:to>
      <xdr:col>18</xdr:col>
      <xdr:colOff>27215</xdr:colOff>
      <xdr:row>31</xdr:row>
      <xdr:rowOff>158934</xdr:rowOff>
    </xdr:to>
    <xdr:graphicFrame macro="">
      <xdr:nvGraphicFramePr>
        <xdr:cNvPr id="7" name="Chart 6">
          <a:extLst>
            <a:ext uri="{FF2B5EF4-FFF2-40B4-BE49-F238E27FC236}">
              <a16:creationId xmlns:a16="http://schemas.microsoft.com/office/drawing/2014/main" id="{9732A75B-E9AB-4F0A-B9A6-BCCA0D62A6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55047</xdr:colOff>
      <xdr:row>5</xdr:row>
      <xdr:rowOff>70756</xdr:rowOff>
    </xdr:from>
    <xdr:to>
      <xdr:col>21</xdr:col>
      <xdr:colOff>1</xdr:colOff>
      <xdr:row>31</xdr:row>
      <xdr:rowOff>160456</xdr:rowOff>
    </xdr:to>
    <xdr:graphicFrame macro="">
      <xdr:nvGraphicFramePr>
        <xdr:cNvPr id="8" name="Chart 7">
          <a:extLst>
            <a:ext uri="{FF2B5EF4-FFF2-40B4-BE49-F238E27FC236}">
              <a16:creationId xmlns:a16="http://schemas.microsoft.com/office/drawing/2014/main" id="{6A52562D-A13D-4BCF-81E1-23760FE14F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19</xdr:col>
      <xdr:colOff>994172</xdr:colOff>
      <xdr:row>1</xdr:row>
      <xdr:rowOff>107157</xdr:rowOff>
    </xdr:from>
    <xdr:to>
      <xdr:col>20</xdr:col>
      <xdr:colOff>926136</xdr:colOff>
      <xdr:row>3</xdr:row>
      <xdr:rowOff>121158</xdr:rowOff>
    </xdr:to>
    <xdr:pic>
      <xdr:nvPicPr>
        <xdr:cNvPr id="9" name="Picture 8">
          <a:extLst>
            <a:ext uri="{FF2B5EF4-FFF2-40B4-BE49-F238E27FC236}">
              <a16:creationId xmlns:a16="http://schemas.microsoft.com/office/drawing/2014/main" id="{245ADDFC-50A8-427B-BF3A-4F351F2A4E8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924985" y="297657"/>
          <a:ext cx="3027589" cy="50811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0.00368</cdr:x>
      <cdr:y>0.8615</cdr:y>
    </cdr:from>
    <cdr:to>
      <cdr:x>1</cdr:x>
      <cdr:y>0.98961</cdr:y>
    </cdr:to>
    <cdr:sp macro="" textlink="">
      <cdr:nvSpPr>
        <cdr:cNvPr id="2" name="TextBox 1">
          <a:extLst xmlns:a="http://schemas.openxmlformats.org/drawingml/2006/main">
            <a:ext uri="{FF2B5EF4-FFF2-40B4-BE49-F238E27FC236}">
              <a16:creationId xmlns:a16="http://schemas.microsoft.com/office/drawing/2014/main" id="{88DC58B3-018B-44EC-A538-68840F5CA00D}"/>
            </a:ext>
          </a:extLst>
        </cdr:cNvPr>
        <cdr:cNvSpPr txBox="1"/>
      </cdr:nvSpPr>
      <cdr:spPr>
        <a:xfrm xmlns:a="http://schemas.openxmlformats.org/drawingml/2006/main">
          <a:off x="27214" y="3385459"/>
          <a:ext cx="7361464" cy="5034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l-NL">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0.83785</cdr:y>
    </cdr:from>
    <cdr:to>
      <cdr:x>1</cdr:x>
      <cdr:y>0.96596</cdr:y>
    </cdr:to>
    <cdr:sp macro="" textlink="">
      <cdr:nvSpPr>
        <cdr:cNvPr id="2" name="TextBox 1">
          <a:extLst xmlns:a="http://schemas.openxmlformats.org/drawingml/2006/main">
            <a:ext uri="{FF2B5EF4-FFF2-40B4-BE49-F238E27FC236}">
              <a16:creationId xmlns:a16="http://schemas.microsoft.com/office/drawing/2014/main" id="{2595E192-1FE5-4066-A217-D206F536963E}"/>
            </a:ext>
          </a:extLst>
        </cdr:cNvPr>
        <cdr:cNvSpPr txBox="1"/>
      </cdr:nvSpPr>
      <cdr:spPr>
        <a:xfrm xmlns:a="http://schemas.openxmlformats.org/drawingml/2006/main">
          <a:off x="0" y="3744935"/>
          <a:ext cx="3356883" cy="5726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NL" sz="1100">
              <a:effectLst/>
              <a:latin typeface="+mn-lt"/>
              <a:ea typeface="+mn-ea"/>
              <a:cs typeface="+mn-cs"/>
            </a:rPr>
            <a:t>*Definitie verantwoordelijke tijdens zwangerschap Perined is te vinden op : www.perined.nl/onderwerpen/registratie/methodologie-dataverwerking</a:t>
          </a:r>
          <a:endParaRPr lang="nl-NL">
            <a:effectLst/>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0.00243</cdr:x>
      <cdr:y>0.83932</cdr:y>
    </cdr:from>
    <cdr:to>
      <cdr:x>1</cdr:x>
      <cdr:y>0.96743</cdr:y>
    </cdr:to>
    <cdr:sp macro="" textlink="">
      <cdr:nvSpPr>
        <cdr:cNvPr id="2" name="TextBox 1">
          <a:extLst xmlns:a="http://schemas.openxmlformats.org/drawingml/2006/main">
            <a:ext uri="{FF2B5EF4-FFF2-40B4-BE49-F238E27FC236}">
              <a16:creationId xmlns:a16="http://schemas.microsoft.com/office/drawing/2014/main" id="{F0E821F2-980E-491F-87B7-0D04E0AB9765}"/>
            </a:ext>
          </a:extLst>
        </cdr:cNvPr>
        <cdr:cNvSpPr txBox="1"/>
      </cdr:nvSpPr>
      <cdr:spPr>
        <a:xfrm xmlns:a="http://schemas.openxmlformats.org/drawingml/2006/main">
          <a:off x="9676" y="3544562"/>
          <a:ext cx="3972014" cy="5410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nl-NL" sz="1100">
              <a:effectLst/>
              <a:latin typeface="+mn-lt"/>
              <a:ea typeface="+mn-ea"/>
              <a:cs typeface="+mn-cs"/>
            </a:rPr>
            <a:t>*Definitie verantwoordelijke tijdens zwangerschap Perined is te vinden op : www.perined.nl/onderwerpen/registratie/methodologie-dataverwerking</a:t>
          </a:r>
          <a:endParaRPr lang="nl-NL">
            <a:effectLst/>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19051</xdr:colOff>
      <xdr:row>6</xdr:row>
      <xdr:rowOff>171449</xdr:rowOff>
    </xdr:from>
    <xdr:to>
      <xdr:col>3</xdr:col>
      <xdr:colOff>1214439</xdr:colOff>
      <xdr:row>27</xdr:row>
      <xdr:rowOff>157162</xdr:rowOff>
    </xdr:to>
    <xdr:graphicFrame macro="">
      <xdr:nvGraphicFramePr>
        <xdr:cNvPr id="2" name="Chart 1">
          <a:extLst>
            <a:ext uri="{FF2B5EF4-FFF2-40B4-BE49-F238E27FC236}">
              <a16:creationId xmlns:a16="http://schemas.microsoft.com/office/drawing/2014/main" id="{C04BD026-C46A-4EE1-8CA4-05F832DFFA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28</xdr:row>
      <xdr:rowOff>104766</xdr:rowOff>
    </xdr:from>
    <xdr:to>
      <xdr:col>1</xdr:col>
      <xdr:colOff>2719050</xdr:colOff>
      <xdr:row>34</xdr:row>
      <xdr:rowOff>166678</xdr:rowOff>
    </xdr:to>
    <xdr:sp macro="" textlink="">
      <xdr:nvSpPr>
        <xdr:cNvPr id="3" name="Rectangle 2">
          <a:extLst>
            <a:ext uri="{FF2B5EF4-FFF2-40B4-BE49-F238E27FC236}">
              <a16:creationId xmlns:a16="http://schemas.microsoft.com/office/drawing/2014/main" id="{71A6974D-1DF2-4854-BC14-A2561141B09F}"/>
            </a:ext>
          </a:extLst>
        </xdr:cNvPr>
        <xdr:cNvSpPr/>
      </xdr:nvSpPr>
      <xdr:spPr>
        <a:xfrm>
          <a:off x="740229" y="5649677"/>
          <a:ext cx="2700000" cy="1327377"/>
        </a:xfrm>
        <a:prstGeom prst="rect">
          <a:avLst/>
        </a:prstGeom>
        <a:solidFill>
          <a:sysClr val="window" lastClr="FFFFFF"/>
        </a:solidFill>
        <a:ln w="9525">
          <a:solidFill>
            <a:schemeClr val="bg1">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nl-NL" sz="1100">
              <a:solidFill>
                <a:sysClr val="windowText" lastClr="000000"/>
              </a:solidFill>
            </a:rPr>
            <a:t>Vrouwen</a:t>
          </a:r>
        </a:p>
      </xdr:txBody>
    </xdr:sp>
    <xdr:clientData/>
  </xdr:twoCellAnchor>
  <xdr:twoCellAnchor>
    <xdr:from>
      <xdr:col>1</xdr:col>
      <xdr:colOff>3300869</xdr:colOff>
      <xdr:row>28</xdr:row>
      <xdr:rowOff>104766</xdr:rowOff>
    </xdr:from>
    <xdr:to>
      <xdr:col>3</xdr:col>
      <xdr:colOff>1217958</xdr:colOff>
      <xdr:row>34</xdr:row>
      <xdr:rowOff>166678</xdr:rowOff>
    </xdr:to>
    <xdr:sp macro="" textlink="">
      <xdr:nvSpPr>
        <xdr:cNvPr id="4" name="Rectangle 3">
          <a:extLst>
            <a:ext uri="{FF2B5EF4-FFF2-40B4-BE49-F238E27FC236}">
              <a16:creationId xmlns:a16="http://schemas.microsoft.com/office/drawing/2014/main" id="{B0838D46-B1EF-4737-B933-0D2E1BA85DED}"/>
            </a:ext>
          </a:extLst>
        </xdr:cNvPr>
        <xdr:cNvSpPr/>
      </xdr:nvSpPr>
      <xdr:spPr>
        <a:xfrm>
          <a:off x="4022048" y="5649677"/>
          <a:ext cx="2700000" cy="1327377"/>
        </a:xfrm>
        <a:prstGeom prst="rect">
          <a:avLst/>
        </a:prstGeom>
        <a:solidFill>
          <a:sysClr val="window" lastClr="FFFFFF"/>
        </a:solidFill>
        <a:ln w="9525">
          <a:solidFill>
            <a:schemeClr val="bg1">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nl-NL" sz="1100">
              <a:solidFill>
                <a:sysClr val="windowText" lastClr="000000"/>
              </a:solidFill>
            </a:rPr>
            <a:t>Omzet</a:t>
          </a:r>
        </a:p>
      </xdr:txBody>
    </xdr:sp>
    <xdr:clientData/>
  </xdr:twoCellAnchor>
  <xdr:twoCellAnchor>
    <xdr:from>
      <xdr:col>1</xdr:col>
      <xdr:colOff>392738</xdr:colOff>
      <xdr:row>32</xdr:row>
      <xdr:rowOff>52381</xdr:rowOff>
    </xdr:from>
    <xdr:to>
      <xdr:col>1</xdr:col>
      <xdr:colOff>2345363</xdr:colOff>
      <xdr:row>33</xdr:row>
      <xdr:rowOff>176214</xdr:rowOff>
    </xdr:to>
    <xdr:sp macro="" textlink="Aantal_vrouwen_Aantal_zwangeren_met_tenminste_22_weken_zwangerschapsduur">
      <xdr:nvSpPr>
        <xdr:cNvPr id="9" name="TextBox 8">
          <a:extLst>
            <a:ext uri="{FF2B5EF4-FFF2-40B4-BE49-F238E27FC236}">
              <a16:creationId xmlns:a16="http://schemas.microsoft.com/office/drawing/2014/main" id="{03C4A271-879C-429E-87D2-8570F9B22948}"/>
            </a:ext>
          </a:extLst>
        </xdr:cNvPr>
        <xdr:cNvSpPr txBox="1"/>
      </xdr:nvSpPr>
      <xdr:spPr>
        <a:xfrm>
          <a:off x="1113917" y="6440935"/>
          <a:ext cx="1952625" cy="3347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FFDBC76-289B-40C8-A28D-220A56CE637A}" type="TxLink">
            <a:rPr lang="en-US" sz="1800" b="1" i="0" u="none" strike="noStrike">
              <a:solidFill>
                <a:srgbClr val="000000"/>
              </a:solidFill>
              <a:latin typeface="Nunito"/>
            </a:rPr>
            <a:pPr algn="ctr"/>
            <a:t> </a:t>
          </a:fld>
          <a:endParaRPr lang="nl-NL" sz="3200" b="1"/>
        </a:p>
      </xdr:txBody>
    </xdr:sp>
    <xdr:clientData/>
  </xdr:twoCellAnchor>
  <xdr:twoCellAnchor editAs="oneCell">
    <xdr:from>
      <xdr:col>1</xdr:col>
      <xdr:colOff>980906</xdr:colOff>
      <xdr:row>28</xdr:row>
      <xdr:rowOff>180975</xdr:rowOff>
    </xdr:from>
    <xdr:to>
      <xdr:col>1</xdr:col>
      <xdr:colOff>1757194</xdr:colOff>
      <xdr:row>32</xdr:row>
      <xdr:rowOff>119063</xdr:rowOff>
    </xdr:to>
    <xdr:pic>
      <xdr:nvPicPr>
        <xdr:cNvPr id="11" name="Graphic 10" descr="Pregnant lady outline">
          <a:extLst>
            <a:ext uri="{FF2B5EF4-FFF2-40B4-BE49-F238E27FC236}">
              <a16:creationId xmlns:a16="http://schemas.microsoft.com/office/drawing/2014/main" id="{60EE8E78-AE58-455B-881C-4F90D96367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02085" y="5725886"/>
          <a:ext cx="776288" cy="781731"/>
        </a:xfrm>
        <a:prstGeom prst="rect">
          <a:avLst/>
        </a:prstGeom>
      </xdr:spPr>
    </xdr:pic>
    <xdr:clientData/>
  </xdr:twoCellAnchor>
  <xdr:twoCellAnchor>
    <xdr:from>
      <xdr:col>2</xdr:col>
      <xdr:colOff>139080</xdr:colOff>
      <xdr:row>32</xdr:row>
      <xdr:rowOff>52381</xdr:rowOff>
    </xdr:from>
    <xdr:to>
      <xdr:col>3</xdr:col>
      <xdr:colOff>875907</xdr:colOff>
      <xdr:row>33</xdr:row>
      <xdr:rowOff>176214</xdr:rowOff>
    </xdr:to>
    <xdr:sp macro="" textlink="$D$53">
      <xdr:nvSpPr>
        <xdr:cNvPr id="12" name="TextBox 11">
          <a:extLst>
            <a:ext uri="{FF2B5EF4-FFF2-40B4-BE49-F238E27FC236}">
              <a16:creationId xmlns:a16="http://schemas.microsoft.com/office/drawing/2014/main" id="{06C3F3C8-2436-47D4-A0F8-945698082B17}"/>
            </a:ext>
          </a:extLst>
        </xdr:cNvPr>
        <xdr:cNvSpPr txBox="1"/>
      </xdr:nvSpPr>
      <xdr:spPr>
        <a:xfrm>
          <a:off x="4364099" y="6440935"/>
          <a:ext cx="2015898" cy="3347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C2511226-DBDF-4685-A1A4-C7FAFA3A8934}" type="TxLink">
            <a:rPr lang="en-US" sz="1800" b="1" i="0" u="none" strike="noStrike">
              <a:solidFill>
                <a:srgbClr val="000000"/>
              </a:solidFill>
              <a:latin typeface="Nunito"/>
            </a:rPr>
            <a:pPr algn="ctr"/>
            <a:t>€ 0</a:t>
          </a:fld>
          <a:endParaRPr lang="nl-NL" sz="3200" b="1"/>
        </a:p>
      </xdr:txBody>
    </xdr:sp>
    <xdr:clientData/>
  </xdr:twoCellAnchor>
  <xdr:twoCellAnchor editAs="oneCell">
    <xdr:from>
      <xdr:col>2</xdr:col>
      <xdr:colOff>743478</xdr:colOff>
      <xdr:row>28</xdr:row>
      <xdr:rowOff>176213</xdr:rowOff>
    </xdr:from>
    <xdr:to>
      <xdr:col>3</xdr:col>
      <xdr:colOff>271510</xdr:colOff>
      <xdr:row>32</xdr:row>
      <xdr:rowOff>142875</xdr:rowOff>
    </xdr:to>
    <xdr:pic>
      <xdr:nvPicPr>
        <xdr:cNvPr id="14" name="Graphic 13" descr="Coins outline">
          <a:extLst>
            <a:ext uri="{FF2B5EF4-FFF2-40B4-BE49-F238E27FC236}">
              <a16:creationId xmlns:a16="http://schemas.microsoft.com/office/drawing/2014/main" id="{7DEB08CA-DED9-49C4-87FF-47E4E0D6193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968497" y="5721124"/>
          <a:ext cx="807103" cy="810305"/>
        </a:xfrm>
        <a:prstGeom prst="rect">
          <a:avLst/>
        </a:prstGeom>
      </xdr:spPr>
    </xdr:pic>
    <xdr:clientData/>
  </xdr:twoCellAnchor>
  <xdr:twoCellAnchor>
    <xdr:from>
      <xdr:col>4</xdr:col>
      <xdr:colOff>376237</xdr:colOff>
      <xdr:row>6</xdr:row>
      <xdr:rowOff>185738</xdr:rowOff>
    </xdr:from>
    <xdr:to>
      <xdr:col>5</xdr:col>
      <xdr:colOff>254794</xdr:colOff>
      <xdr:row>34</xdr:row>
      <xdr:rowOff>179297</xdr:rowOff>
    </xdr:to>
    <xdr:sp macro="" textlink="">
      <xdr:nvSpPr>
        <xdr:cNvPr id="16" name="Isosceles Triangle 15">
          <a:extLst>
            <a:ext uri="{FF2B5EF4-FFF2-40B4-BE49-F238E27FC236}">
              <a16:creationId xmlns:a16="http://schemas.microsoft.com/office/drawing/2014/main" id="{BAE678F6-F38B-4D0A-8F6D-B6668E49D8A3}"/>
            </a:ext>
          </a:extLst>
        </xdr:cNvPr>
        <xdr:cNvSpPr/>
      </xdr:nvSpPr>
      <xdr:spPr>
        <a:xfrm rot="5400000">
          <a:off x="5397803" y="3675040"/>
          <a:ext cx="5798206" cy="601337"/>
        </a:xfrm>
        <a:prstGeom prst="triangle">
          <a:avLst/>
        </a:prstGeom>
        <a:solidFill>
          <a:schemeClr val="bg1">
            <a:lumMod val="85000"/>
          </a:schemeClr>
        </a:solidFill>
        <a:ln>
          <a:solidFill>
            <a:schemeClr val="bg1">
              <a:lumMod val="6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nl-NL" sz="1100"/>
        </a:p>
      </xdr:txBody>
    </xdr:sp>
    <xdr:clientData/>
  </xdr:twoCellAnchor>
  <xdr:twoCellAnchor>
    <xdr:from>
      <xdr:col>5</xdr:col>
      <xdr:colOff>704852</xdr:colOff>
      <xdr:row>6</xdr:row>
      <xdr:rowOff>171448</xdr:rowOff>
    </xdr:from>
    <xdr:to>
      <xdr:col>8</xdr:col>
      <xdr:colOff>941294</xdr:colOff>
      <xdr:row>34</xdr:row>
      <xdr:rowOff>166687</xdr:rowOff>
    </xdr:to>
    <xdr:graphicFrame macro="">
      <xdr:nvGraphicFramePr>
        <xdr:cNvPr id="17" name="Chart 16">
          <a:extLst>
            <a:ext uri="{FF2B5EF4-FFF2-40B4-BE49-F238E27FC236}">
              <a16:creationId xmlns:a16="http://schemas.microsoft.com/office/drawing/2014/main" id="{926A1934-BB46-4B0B-81B1-2D48BDAA14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228720</xdr:colOff>
      <xdr:row>6</xdr:row>
      <xdr:rowOff>171448</xdr:rowOff>
    </xdr:from>
    <xdr:to>
      <xdr:col>12</xdr:col>
      <xdr:colOff>628028</xdr:colOff>
      <xdr:row>34</xdr:row>
      <xdr:rowOff>166401</xdr:rowOff>
    </xdr:to>
    <xdr:graphicFrame macro="">
      <xdr:nvGraphicFramePr>
        <xdr:cNvPr id="6" name="Chart 5">
          <a:extLst>
            <a:ext uri="{FF2B5EF4-FFF2-40B4-BE49-F238E27FC236}">
              <a16:creationId xmlns:a16="http://schemas.microsoft.com/office/drawing/2014/main" id="{1865C455-74B4-4D50-8257-3F37ED9B4E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1136895</xdr:colOff>
      <xdr:row>6</xdr:row>
      <xdr:rowOff>171448</xdr:rowOff>
    </xdr:from>
    <xdr:to>
      <xdr:col>16</xdr:col>
      <xdr:colOff>314763</xdr:colOff>
      <xdr:row>34</xdr:row>
      <xdr:rowOff>166401</xdr:rowOff>
    </xdr:to>
    <xdr:graphicFrame macro="">
      <xdr:nvGraphicFramePr>
        <xdr:cNvPr id="18" name="Chart 17">
          <a:extLst>
            <a:ext uri="{FF2B5EF4-FFF2-40B4-BE49-F238E27FC236}">
              <a16:creationId xmlns:a16="http://schemas.microsoft.com/office/drawing/2014/main" id="{35C0BAB6-61C8-4F71-9E2D-6526A83918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823630</xdr:colOff>
      <xdr:row>6</xdr:row>
      <xdr:rowOff>171448</xdr:rowOff>
    </xdr:from>
    <xdr:to>
      <xdr:col>20</xdr:col>
      <xdr:colOff>1498</xdr:colOff>
      <xdr:row>34</xdr:row>
      <xdr:rowOff>166401</xdr:rowOff>
    </xdr:to>
    <xdr:graphicFrame macro="">
      <xdr:nvGraphicFramePr>
        <xdr:cNvPr id="19" name="Chart 18">
          <a:extLst>
            <a:ext uri="{FF2B5EF4-FFF2-40B4-BE49-F238E27FC236}">
              <a16:creationId xmlns:a16="http://schemas.microsoft.com/office/drawing/2014/main" id="{FD258EA9-19E3-41EC-A98E-3F59CBA1B3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17</xdr:col>
      <xdr:colOff>891268</xdr:colOff>
      <xdr:row>0</xdr:row>
      <xdr:rowOff>156481</xdr:rowOff>
    </xdr:from>
    <xdr:to>
      <xdr:col>19</xdr:col>
      <xdr:colOff>1081769</xdr:colOff>
      <xdr:row>3</xdr:row>
      <xdr:rowOff>18252</xdr:rowOff>
    </xdr:to>
    <xdr:pic>
      <xdr:nvPicPr>
        <xdr:cNvPr id="20" name="Picture 19">
          <a:extLst>
            <a:ext uri="{FF2B5EF4-FFF2-40B4-BE49-F238E27FC236}">
              <a16:creationId xmlns:a16="http://schemas.microsoft.com/office/drawing/2014/main" id="{CA048BA1-36BB-40F4-9E47-B4234A0AD62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5023537" y="156481"/>
          <a:ext cx="3027589" cy="5081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142875</xdr:colOff>
      <xdr:row>0</xdr:row>
      <xdr:rowOff>204108</xdr:rowOff>
    </xdr:from>
    <xdr:to>
      <xdr:col>11</xdr:col>
      <xdr:colOff>28415</xdr:colOff>
      <xdr:row>3</xdr:row>
      <xdr:rowOff>11450</xdr:rowOff>
    </xdr:to>
    <xdr:pic>
      <xdr:nvPicPr>
        <xdr:cNvPr id="3" name="Picture 2">
          <a:extLst>
            <a:ext uri="{FF2B5EF4-FFF2-40B4-BE49-F238E27FC236}">
              <a16:creationId xmlns:a16="http://schemas.microsoft.com/office/drawing/2014/main" id="{DCD8697D-143F-432F-8F5A-B12CBA97A4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53358" y="204108"/>
          <a:ext cx="3027589" cy="50811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640773</xdr:colOff>
      <xdr:row>0</xdr:row>
      <xdr:rowOff>155863</xdr:rowOff>
    </xdr:from>
    <xdr:to>
      <xdr:col>18</xdr:col>
      <xdr:colOff>1172686</xdr:colOff>
      <xdr:row>3</xdr:row>
      <xdr:rowOff>21344</xdr:rowOff>
    </xdr:to>
    <xdr:pic>
      <xdr:nvPicPr>
        <xdr:cNvPr id="3" name="Picture 2">
          <a:extLst>
            <a:ext uri="{FF2B5EF4-FFF2-40B4-BE49-F238E27FC236}">
              <a16:creationId xmlns:a16="http://schemas.microsoft.com/office/drawing/2014/main" id="{DEA3C1AC-7A77-43CE-BC14-86B51CCDC9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92273" y="155863"/>
          <a:ext cx="3025732" cy="5062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911679</xdr:colOff>
      <xdr:row>0</xdr:row>
      <xdr:rowOff>176893</xdr:rowOff>
    </xdr:from>
    <xdr:to>
      <xdr:col>13</xdr:col>
      <xdr:colOff>1231446</xdr:colOff>
      <xdr:row>3</xdr:row>
      <xdr:rowOff>38664</xdr:rowOff>
    </xdr:to>
    <xdr:pic>
      <xdr:nvPicPr>
        <xdr:cNvPr id="4" name="Picture 3">
          <a:extLst>
            <a:ext uri="{FF2B5EF4-FFF2-40B4-BE49-F238E27FC236}">
              <a16:creationId xmlns:a16="http://schemas.microsoft.com/office/drawing/2014/main" id="{22CA10E7-83F7-48ED-8BFD-9C3C2B137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47536" y="176893"/>
          <a:ext cx="3027589" cy="508111"/>
        </a:xfrm>
        <a:prstGeom prst="rect">
          <a:avLst/>
        </a:prstGeom>
      </xdr:spPr>
    </xdr:pic>
    <xdr:clientData/>
  </xdr:twoCellAnchor>
</xdr:wsDr>
</file>

<file path=xl/theme/theme1.xml><?xml version="1.0" encoding="utf-8"?>
<a:theme xmlns:a="http://schemas.openxmlformats.org/drawingml/2006/main" name="Office Theme">
  <a:themeElements>
    <a:clrScheme name="Nieuwe huisstijl - def kleurenschema">
      <a:dk1>
        <a:srgbClr val="000000"/>
      </a:dk1>
      <a:lt1>
        <a:sysClr val="window" lastClr="FFFFFF"/>
      </a:lt1>
      <a:dk2>
        <a:srgbClr val="003F5A"/>
      </a:dk2>
      <a:lt2>
        <a:srgbClr val="83C4CF"/>
      </a:lt2>
      <a:accent1>
        <a:srgbClr val="003F5A"/>
      </a:accent1>
      <a:accent2>
        <a:srgbClr val="1AB589"/>
      </a:accent2>
      <a:accent3>
        <a:srgbClr val="83C4CF"/>
      </a:accent3>
      <a:accent4>
        <a:srgbClr val="4C4B47"/>
      </a:accent4>
      <a:accent5>
        <a:srgbClr val="428CCF"/>
      </a:accent5>
      <a:accent6>
        <a:srgbClr val="C3B233"/>
      </a:accent6>
      <a:hlink>
        <a:srgbClr val="FF9900"/>
      </a:hlink>
      <a:folHlink>
        <a:srgbClr val="00CC99"/>
      </a:folHlink>
    </a:clrScheme>
    <a:fontScheme name="nieuwe huisstijl">
      <a:majorFont>
        <a:latin typeface="Rufina"/>
        <a:ea typeface="MS Gothic"/>
        <a:cs typeface=""/>
      </a:majorFont>
      <a:minorFont>
        <a:latin typeface="Nunito"/>
        <a:ea typeface="MS Gothic"/>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SiRM grafieken">
    <a:dk1>
      <a:sysClr val="windowText" lastClr="000000"/>
    </a:dk1>
    <a:lt1>
      <a:sysClr val="window" lastClr="FFFFFF"/>
    </a:lt1>
    <a:dk2>
      <a:srgbClr val="003F5A"/>
    </a:dk2>
    <a:lt2>
      <a:srgbClr val="FFFFFF"/>
    </a:lt2>
    <a:accent1>
      <a:srgbClr val="003F5A"/>
    </a:accent1>
    <a:accent2>
      <a:srgbClr val="1AB589"/>
    </a:accent2>
    <a:accent3>
      <a:srgbClr val="83C4CF"/>
    </a:accent3>
    <a:accent4>
      <a:srgbClr val="4C4B47"/>
    </a:accent4>
    <a:accent5>
      <a:srgbClr val="428CCF"/>
    </a:accent5>
    <a:accent6>
      <a:srgbClr val="C3B233"/>
    </a:accent6>
    <a:hlink>
      <a:srgbClr val="003F5A"/>
    </a:hlink>
    <a:folHlink>
      <a:srgbClr val="003F5A"/>
    </a:folHlink>
  </a:clrScheme>
  <a:fontScheme name="SiRM">
    <a:majorFont>
      <a:latin typeface="Rufina"/>
      <a:ea typeface=""/>
      <a:cs typeface=""/>
    </a:majorFont>
    <a:minorFont>
      <a:latin typeface="Nuni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SiRM grafieken">
    <a:dk1>
      <a:sysClr val="windowText" lastClr="000000"/>
    </a:dk1>
    <a:lt1>
      <a:sysClr val="window" lastClr="FFFFFF"/>
    </a:lt1>
    <a:dk2>
      <a:srgbClr val="003F5A"/>
    </a:dk2>
    <a:lt2>
      <a:srgbClr val="FFFFFF"/>
    </a:lt2>
    <a:accent1>
      <a:srgbClr val="003F5A"/>
    </a:accent1>
    <a:accent2>
      <a:srgbClr val="1AB589"/>
    </a:accent2>
    <a:accent3>
      <a:srgbClr val="83C4CF"/>
    </a:accent3>
    <a:accent4>
      <a:srgbClr val="4C4B47"/>
    </a:accent4>
    <a:accent5>
      <a:srgbClr val="428CCF"/>
    </a:accent5>
    <a:accent6>
      <a:srgbClr val="C3B233"/>
    </a:accent6>
    <a:hlink>
      <a:srgbClr val="003F5A"/>
    </a:hlink>
    <a:folHlink>
      <a:srgbClr val="003F5A"/>
    </a:folHlink>
  </a:clrScheme>
  <a:fontScheme name="SiRM">
    <a:majorFont>
      <a:latin typeface="Rufina"/>
      <a:ea typeface=""/>
      <a:cs typeface=""/>
    </a:majorFont>
    <a:minorFont>
      <a:latin typeface="Nuni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SiRM grafieken">
    <a:dk1>
      <a:sysClr val="windowText" lastClr="000000"/>
    </a:dk1>
    <a:lt1>
      <a:sysClr val="window" lastClr="FFFFFF"/>
    </a:lt1>
    <a:dk2>
      <a:srgbClr val="003F5A"/>
    </a:dk2>
    <a:lt2>
      <a:srgbClr val="FFFFFF"/>
    </a:lt2>
    <a:accent1>
      <a:srgbClr val="003F5A"/>
    </a:accent1>
    <a:accent2>
      <a:srgbClr val="1AB589"/>
    </a:accent2>
    <a:accent3>
      <a:srgbClr val="83C4CF"/>
    </a:accent3>
    <a:accent4>
      <a:srgbClr val="4C4B47"/>
    </a:accent4>
    <a:accent5>
      <a:srgbClr val="428CCF"/>
    </a:accent5>
    <a:accent6>
      <a:srgbClr val="C3B233"/>
    </a:accent6>
    <a:hlink>
      <a:srgbClr val="003F5A"/>
    </a:hlink>
    <a:folHlink>
      <a:srgbClr val="003F5A"/>
    </a:folHlink>
  </a:clrScheme>
  <a:fontScheme name="SiRM">
    <a:majorFont>
      <a:latin typeface="Rufina"/>
      <a:ea typeface=""/>
      <a:cs typeface=""/>
    </a:majorFont>
    <a:minorFont>
      <a:latin typeface="Nuni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SiRM grafieken">
    <a:dk1>
      <a:sysClr val="windowText" lastClr="000000"/>
    </a:dk1>
    <a:lt1>
      <a:sysClr val="window" lastClr="FFFFFF"/>
    </a:lt1>
    <a:dk2>
      <a:srgbClr val="003F5A"/>
    </a:dk2>
    <a:lt2>
      <a:srgbClr val="FFFFFF"/>
    </a:lt2>
    <a:accent1>
      <a:srgbClr val="003F5A"/>
    </a:accent1>
    <a:accent2>
      <a:srgbClr val="1AB589"/>
    </a:accent2>
    <a:accent3>
      <a:srgbClr val="83C4CF"/>
    </a:accent3>
    <a:accent4>
      <a:srgbClr val="4C4B47"/>
    </a:accent4>
    <a:accent5>
      <a:srgbClr val="428CCF"/>
    </a:accent5>
    <a:accent6>
      <a:srgbClr val="C3B233"/>
    </a:accent6>
    <a:hlink>
      <a:srgbClr val="003F5A"/>
    </a:hlink>
    <a:folHlink>
      <a:srgbClr val="003F5A"/>
    </a:folHlink>
  </a:clrScheme>
  <a:fontScheme name="SiRM">
    <a:majorFont>
      <a:latin typeface="Rufina"/>
      <a:ea typeface=""/>
      <a:cs typeface=""/>
    </a:majorFont>
    <a:minorFont>
      <a:latin typeface="Nuni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SiRM grafieken">
    <a:dk1>
      <a:sysClr val="windowText" lastClr="000000"/>
    </a:dk1>
    <a:lt1>
      <a:sysClr val="window" lastClr="FFFFFF"/>
    </a:lt1>
    <a:dk2>
      <a:srgbClr val="003F5A"/>
    </a:dk2>
    <a:lt2>
      <a:srgbClr val="FFFFFF"/>
    </a:lt2>
    <a:accent1>
      <a:srgbClr val="003F5A"/>
    </a:accent1>
    <a:accent2>
      <a:srgbClr val="1AB589"/>
    </a:accent2>
    <a:accent3>
      <a:srgbClr val="83C4CF"/>
    </a:accent3>
    <a:accent4>
      <a:srgbClr val="4C4B47"/>
    </a:accent4>
    <a:accent5>
      <a:srgbClr val="428CCF"/>
    </a:accent5>
    <a:accent6>
      <a:srgbClr val="C3B233"/>
    </a:accent6>
    <a:hlink>
      <a:srgbClr val="003F5A"/>
    </a:hlink>
    <a:folHlink>
      <a:srgbClr val="003F5A"/>
    </a:folHlink>
  </a:clrScheme>
  <a:fontScheme name="SiRM">
    <a:majorFont>
      <a:latin typeface="Rufina"/>
      <a:ea typeface=""/>
      <a:cs typeface=""/>
    </a:majorFont>
    <a:minorFont>
      <a:latin typeface="Nuni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SiRM grafieken">
    <a:dk1>
      <a:sysClr val="windowText" lastClr="000000"/>
    </a:dk1>
    <a:lt1>
      <a:sysClr val="window" lastClr="FFFFFF"/>
    </a:lt1>
    <a:dk2>
      <a:srgbClr val="003F5A"/>
    </a:dk2>
    <a:lt2>
      <a:srgbClr val="FFFFFF"/>
    </a:lt2>
    <a:accent1>
      <a:srgbClr val="003F5A"/>
    </a:accent1>
    <a:accent2>
      <a:srgbClr val="1AB589"/>
    </a:accent2>
    <a:accent3>
      <a:srgbClr val="83C4CF"/>
    </a:accent3>
    <a:accent4>
      <a:srgbClr val="4C4B47"/>
    </a:accent4>
    <a:accent5>
      <a:srgbClr val="428CCF"/>
    </a:accent5>
    <a:accent6>
      <a:srgbClr val="C3B233"/>
    </a:accent6>
    <a:hlink>
      <a:srgbClr val="003F5A"/>
    </a:hlink>
    <a:folHlink>
      <a:srgbClr val="003F5A"/>
    </a:folHlink>
  </a:clrScheme>
  <a:fontScheme name="SiRM">
    <a:majorFont>
      <a:latin typeface="Rufina"/>
      <a:ea typeface=""/>
      <a:cs typeface=""/>
    </a:majorFont>
    <a:minorFont>
      <a:latin typeface="Nuni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SiRM grafieken">
    <a:dk1>
      <a:sysClr val="windowText" lastClr="000000"/>
    </a:dk1>
    <a:lt1>
      <a:sysClr val="window" lastClr="FFFFFF"/>
    </a:lt1>
    <a:dk2>
      <a:srgbClr val="003F5A"/>
    </a:dk2>
    <a:lt2>
      <a:srgbClr val="FFFFFF"/>
    </a:lt2>
    <a:accent1>
      <a:srgbClr val="003F5A"/>
    </a:accent1>
    <a:accent2>
      <a:srgbClr val="1AB589"/>
    </a:accent2>
    <a:accent3>
      <a:srgbClr val="83C4CF"/>
    </a:accent3>
    <a:accent4>
      <a:srgbClr val="4C4B47"/>
    </a:accent4>
    <a:accent5>
      <a:srgbClr val="428CCF"/>
    </a:accent5>
    <a:accent6>
      <a:srgbClr val="C3B233"/>
    </a:accent6>
    <a:hlink>
      <a:srgbClr val="003F5A"/>
    </a:hlink>
    <a:folHlink>
      <a:srgbClr val="003F5A"/>
    </a:folHlink>
  </a:clrScheme>
  <a:fontScheme name="SiRM">
    <a:majorFont>
      <a:latin typeface="Rufina"/>
      <a:ea typeface=""/>
      <a:cs typeface=""/>
    </a:majorFont>
    <a:minorFont>
      <a:latin typeface="Nuni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SiRM grafieken">
    <a:dk1>
      <a:sysClr val="windowText" lastClr="000000"/>
    </a:dk1>
    <a:lt1>
      <a:sysClr val="window" lastClr="FFFFFF"/>
    </a:lt1>
    <a:dk2>
      <a:srgbClr val="003F5A"/>
    </a:dk2>
    <a:lt2>
      <a:srgbClr val="FFFFFF"/>
    </a:lt2>
    <a:accent1>
      <a:srgbClr val="003F5A"/>
    </a:accent1>
    <a:accent2>
      <a:srgbClr val="1AB589"/>
    </a:accent2>
    <a:accent3>
      <a:srgbClr val="83C4CF"/>
    </a:accent3>
    <a:accent4>
      <a:srgbClr val="4C4B47"/>
    </a:accent4>
    <a:accent5>
      <a:srgbClr val="428CCF"/>
    </a:accent5>
    <a:accent6>
      <a:srgbClr val="C3B233"/>
    </a:accent6>
    <a:hlink>
      <a:srgbClr val="003F5A"/>
    </a:hlink>
    <a:folHlink>
      <a:srgbClr val="003F5A"/>
    </a:folHlink>
  </a:clrScheme>
  <a:fontScheme name="SiRM">
    <a:majorFont>
      <a:latin typeface="Rufina"/>
      <a:ea typeface=""/>
      <a:cs typeface=""/>
    </a:majorFont>
    <a:minorFont>
      <a:latin typeface="Nuni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SiRM grafieken">
    <a:dk1>
      <a:sysClr val="windowText" lastClr="000000"/>
    </a:dk1>
    <a:lt1>
      <a:sysClr val="window" lastClr="FFFFFF"/>
    </a:lt1>
    <a:dk2>
      <a:srgbClr val="003F5A"/>
    </a:dk2>
    <a:lt2>
      <a:srgbClr val="FFFFFF"/>
    </a:lt2>
    <a:accent1>
      <a:srgbClr val="003F5A"/>
    </a:accent1>
    <a:accent2>
      <a:srgbClr val="1AB589"/>
    </a:accent2>
    <a:accent3>
      <a:srgbClr val="83C4CF"/>
    </a:accent3>
    <a:accent4>
      <a:srgbClr val="4C4B47"/>
    </a:accent4>
    <a:accent5>
      <a:srgbClr val="428CCF"/>
    </a:accent5>
    <a:accent6>
      <a:srgbClr val="C3B233"/>
    </a:accent6>
    <a:hlink>
      <a:srgbClr val="003F5A"/>
    </a:hlink>
    <a:folHlink>
      <a:srgbClr val="003F5A"/>
    </a:folHlink>
  </a:clrScheme>
  <a:fontScheme name="SiRM">
    <a:majorFont>
      <a:latin typeface="Rufina"/>
      <a:ea typeface=""/>
      <a:cs typeface=""/>
    </a:majorFont>
    <a:minorFont>
      <a:latin typeface="Nuni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2F49A-00BC-4AE0-9516-4A0DE43D2373}">
  <sheetPr>
    <tabColor theme="0"/>
  </sheetPr>
  <dimension ref="A2:P29"/>
  <sheetViews>
    <sheetView showGridLines="0" tabSelected="1" zoomScale="80" zoomScaleNormal="80" workbookViewId="0"/>
  </sheetViews>
  <sheetFormatPr defaultRowHeight="17" x14ac:dyDescent="0.5"/>
  <cols>
    <col min="3" max="3" width="11.23046875" bestFit="1" customWidth="1"/>
    <col min="4" max="4" width="2.23046875" customWidth="1"/>
    <col min="5" max="16" width="13.23046875" customWidth="1"/>
    <col min="19" max="19" width="26.69140625" bestFit="1" customWidth="1"/>
    <col min="20" max="20" width="26.69140625" customWidth="1"/>
    <col min="21" max="21" width="33.69140625" customWidth="1"/>
  </cols>
  <sheetData>
    <row r="2" spans="1:16" ht="20.5" x14ac:dyDescent="0.55000000000000004">
      <c r="B2" s="3" t="s">
        <v>345</v>
      </c>
    </row>
    <row r="3" spans="1:16" x14ac:dyDescent="0.5">
      <c r="B3" t="s">
        <v>284</v>
      </c>
      <c r="C3" s="67">
        <v>44609</v>
      </c>
    </row>
    <row r="5" spans="1:16" ht="17.5" thickBot="1" x14ac:dyDescent="0.55000000000000004"/>
    <row r="6" spans="1:16" x14ac:dyDescent="0.5">
      <c r="B6" s="70" t="s">
        <v>368</v>
      </c>
      <c r="C6" s="68"/>
      <c r="D6" s="68"/>
      <c r="E6" s="68"/>
      <c r="F6" s="68"/>
      <c r="G6" s="68"/>
      <c r="H6" s="68"/>
      <c r="I6" s="68"/>
      <c r="J6" s="68"/>
      <c r="K6" s="68"/>
      <c r="L6" s="68"/>
      <c r="M6" s="68"/>
      <c r="N6" s="68"/>
      <c r="O6" s="68"/>
      <c r="P6" s="69"/>
    </row>
    <row r="7" spans="1:16" x14ac:dyDescent="0.5">
      <c r="B7" s="166" t="s">
        <v>369</v>
      </c>
      <c r="C7" s="167"/>
      <c r="D7" s="167"/>
      <c r="E7" s="167"/>
      <c r="F7" s="167"/>
      <c r="G7" s="167"/>
      <c r="H7" s="167"/>
      <c r="I7" s="167"/>
      <c r="J7" s="167"/>
      <c r="K7" s="167"/>
      <c r="L7" s="167"/>
      <c r="M7" s="167"/>
      <c r="N7" s="167"/>
      <c r="O7" s="167"/>
      <c r="P7" s="168"/>
    </row>
    <row r="8" spans="1:16" x14ac:dyDescent="0.5">
      <c r="B8" s="166"/>
      <c r="C8" s="167"/>
      <c r="D8" s="167"/>
      <c r="E8" s="167"/>
      <c r="F8" s="167"/>
      <c r="G8" s="167"/>
      <c r="H8" s="167"/>
      <c r="I8" s="167"/>
      <c r="J8" s="167"/>
      <c r="K8" s="167"/>
      <c r="L8" s="167"/>
      <c r="M8" s="167"/>
      <c r="N8" s="167"/>
      <c r="O8" s="167"/>
      <c r="P8" s="168"/>
    </row>
    <row r="9" spans="1:16" x14ac:dyDescent="0.5">
      <c r="B9" s="166"/>
      <c r="C9" s="167"/>
      <c r="D9" s="167"/>
      <c r="E9" s="167"/>
      <c r="F9" s="167"/>
      <c r="G9" s="167"/>
      <c r="H9" s="167"/>
      <c r="I9" s="167"/>
      <c r="J9" s="167"/>
      <c r="K9" s="167"/>
      <c r="L9" s="167"/>
      <c r="M9" s="167"/>
      <c r="N9" s="167"/>
      <c r="O9" s="167"/>
      <c r="P9" s="168"/>
    </row>
    <row r="10" spans="1:16" ht="47.65" customHeight="1" thickBot="1" x14ac:dyDescent="0.55000000000000004">
      <c r="B10" s="169"/>
      <c r="C10" s="170"/>
      <c r="D10" s="170"/>
      <c r="E10" s="170"/>
      <c r="F10" s="170"/>
      <c r="G10" s="170"/>
      <c r="H10" s="170"/>
      <c r="I10" s="170"/>
      <c r="J10" s="170"/>
      <c r="K10" s="170"/>
      <c r="L10" s="170"/>
      <c r="M10" s="170"/>
      <c r="N10" s="170"/>
      <c r="O10" s="170"/>
      <c r="P10" s="171"/>
    </row>
    <row r="11" spans="1:16" ht="17.5" thickBot="1" x14ac:dyDescent="0.55000000000000004">
      <c r="B11" s="78"/>
      <c r="C11" s="78"/>
      <c r="D11" s="78"/>
      <c r="E11" s="78"/>
      <c r="F11" s="78"/>
      <c r="G11" s="78"/>
      <c r="H11" s="78"/>
      <c r="I11" s="78"/>
      <c r="J11" s="78"/>
      <c r="K11" s="78"/>
      <c r="L11" s="78"/>
      <c r="M11" s="78"/>
      <c r="N11" s="78"/>
      <c r="O11" s="78"/>
      <c r="P11" s="78"/>
    </row>
    <row r="12" spans="1:16" ht="25.5" customHeight="1" x14ac:dyDescent="0.5">
      <c r="A12" s="5"/>
      <c r="B12" s="172" t="str">
        <f>HYPERLINK(Regiokenmerken!A1,"Regiokenmerken")</f>
        <v>Regiokenmerken</v>
      </c>
      <c r="C12" s="173"/>
      <c r="E12" s="160" t="s">
        <v>370</v>
      </c>
      <c r="F12" s="161"/>
      <c r="G12" s="161"/>
      <c r="H12" s="161"/>
      <c r="I12" s="161"/>
      <c r="J12" s="161"/>
      <c r="K12" s="161"/>
      <c r="L12" s="161"/>
      <c r="M12" s="161"/>
      <c r="N12" s="161"/>
      <c r="O12" s="161"/>
      <c r="P12" s="162"/>
    </row>
    <row r="13" spans="1:16" ht="25.5" customHeight="1" thickBot="1" x14ac:dyDescent="0.55000000000000004">
      <c r="A13" s="5"/>
      <c r="B13" s="174"/>
      <c r="C13" s="175"/>
      <c r="E13" s="163"/>
      <c r="F13" s="164"/>
      <c r="G13" s="164"/>
      <c r="H13" s="164"/>
      <c r="I13" s="164"/>
      <c r="J13" s="164"/>
      <c r="K13" s="164"/>
      <c r="L13" s="164"/>
      <c r="M13" s="164"/>
      <c r="N13" s="164"/>
      <c r="O13" s="164"/>
      <c r="P13" s="165"/>
    </row>
    <row r="14" spans="1:16" ht="14.25" customHeight="1" thickBot="1" x14ac:dyDescent="0.55000000000000004">
      <c r="A14" s="5"/>
      <c r="B14" s="130"/>
      <c r="C14" s="130"/>
    </row>
    <row r="15" spans="1:16" ht="25.5" customHeight="1" x14ac:dyDescent="0.5">
      <c r="A15" s="5"/>
      <c r="B15" s="172" t="str">
        <f>HYPERLINK('Uitkomsten verdeling'!A1,"Uitkomsten verdeling")</f>
        <v>Uitkomsten verdeling</v>
      </c>
      <c r="C15" s="173"/>
      <c r="E15" s="160" t="s">
        <v>302</v>
      </c>
      <c r="F15" s="161"/>
      <c r="G15" s="161"/>
      <c r="H15" s="161"/>
      <c r="I15" s="161"/>
      <c r="J15" s="161"/>
      <c r="K15" s="161"/>
      <c r="L15" s="161"/>
      <c r="M15" s="161"/>
      <c r="N15" s="161"/>
      <c r="O15" s="161"/>
      <c r="P15" s="162"/>
    </row>
    <row r="16" spans="1:16" ht="25.5" customHeight="1" thickBot="1" x14ac:dyDescent="0.55000000000000004">
      <c r="A16" s="5"/>
      <c r="B16" s="174"/>
      <c r="C16" s="175"/>
      <c r="E16" s="163"/>
      <c r="F16" s="164"/>
      <c r="G16" s="164"/>
      <c r="H16" s="164"/>
      <c r="I16" s="164"/>
      <c r="J16" s="164"/>
      <c r="K16" s="164"/>
      <c r="L16" s="164"/>
      <c r="M16" s="164"/>
      <c r="N16" s="164"/>
      <c r="O16" s="164"/>
      <c r="P16" s="165"/>
    </row>
    <row r="17" spans="1:16" ht="14.25" customHeight="1" thickBot="1" x14ac:dyDescent="0.55000000000000004">
      <c r="A17" s="5"/>
      <c r="B17" s="5"/>
      <c r="C17" s="5"/>
      <c r="E17" s="78"/>
      <c r="F17" s="78"/>
      <c r="G17" s="78"/>
      <c r="H17" s="78"/>
      <c r="I17" s="78"/>
      <c r="J17" s="78"/>
      <c r="K17" s="78"/>
      <c r="L17" s="78"/>
      <c r="M17" s="78"/>
      <c r="N17" s="78"/>
      <c r="O17" s="78"/>
      <c r="P17" s="78"/>
    </row>
    <row r="18" spans="1:16" ht="25.5" customHeight="1" x14ac:dyDescent="0.5">
      <c r="A18" s="5"/>
      <c r="B18" s="176" t="str">
        <f>HYPERLINK('Invoertabblad - regiokenmerken'!A1,"Invoertabblad - regiokenmerken")</f>
        <v>Invoertabblad - regiokenmerken</v>
      </c>
      <c r="C18" s="177"/>
      <c r="E18" s="160" t="s">
        <v>346</v>
      </c>
      <c r="F18" s="161"/>
      <c r="G18" s="161"/>
      <c r="H18" s="161"/>
      <c r="I18" s="161"/>
      <c r="J18" s="161"/>
      <c r="K18" s="161"/>
      <c r="L18" s="161"/>
      <c r="M18" s="161"/>
      <c r="N18" s="161"/>
      <c r="O18" s="161"/>
      <c r="P18" s="162"/>
    </row>
    <row r="19" spans="1:16" ht="25.5" customHeight="1" thickBot="1" x14ac:dyDescent="0.55000000000000004">
      <c r="A19" s="5"/>
      <c r="B19" s="178"/>
      <c r="C19" s="179"/>
      <c r="E19" s="163"/>
      <c r="F19" s="164"/>
      <c r="G19" s="164"/>
      <c r="H19" s="164"/>
      <c r="I19" s="164"/>
      <c r="J19" s="164"/>
      <c r="K19" s="164"/>
      <c r="L19" s="164"/>
      <c r="M19" s="164"/>
      <c r="N19" s="164"/>
      <c r="O19" s="164"/>
      <c r="P19" s="165"/>
    </row>
    <row r="20" spans="1:16" ht="14.25" customHeight="1" thickBot="1" x14ac:dyDescent="0.55000000000000004">
      <c r="A20" s="5"/>
      <c r="B20" s="130"/>
      <c r="C20" s="130"/>
    </row>
    <row r="21" spans="1:16" ht="25.5" customHeight="1" x14ac:dyDescent="0.5">
      <c r="A21" s="5"/>
      <c r="B21" s="176" t="str">
        <f>HYPERLINK('Invoertabblad - geleverde zorg'!A1,"Invoertabblad - geleverde zorg")</f>
        <v>Invoertabblad - geleverde zorg</v>
      </c>
      <c r="C21" s="177"/>
      <c r="E21" s="160" t="s">
        <v>371</v>
      </c>
      <c r="F21" s="161"/>
      <c r="G21" s="161"/>
      <c r="H21" s="161"/>
      <c r="I21" s="161"/>
      <c r="J21" s="161"/>
      <c r="K21" s="161"/>
      <c r="L21" s="161"/>
      <c r="M21" s="161"/>
      <c r="N21" s="161"/>
      <c r="O21" s="161"/>
      <c r="P21" s="162"/>
    </row>
    <row r="22" spans="1:16" ht="25.5" customHeight="1" thickBot="1" x14ac:dyDescent="0.55000000000000004">
      <c r="A22" s="5"/>
      <c r="B22" s="178"/>
      <c r="C22" s="179"/>
      <c r="E22" s="163"/>
      <c r="F22" s="164"/>
      <c r="G22" s="164"/>
      <c r="H22" s="164"/>
      <c r="I22" s="164"/>
      <c r="J22" s="164"/>
      <c r="K22" s="164"/>
      <c r="L22" s="164"/>
      <c r="M22" s="164"/>
      <c r="N22" s="164"/>
      <c r="O22" s="164"/>
      <c r="P22" s="165"/>
    </row>
    <row r="23" spans="1:16" ht="14.25" customHeight="1" thickBot="1" x14ac:dyDescent="0.55000000000000004">
      <c r="A23" s="5"/>
      <c r="B23" s="130"/>
      <c r="C23" s="130"/>
    </row>
    <row r="24" spans="1:16" ht="25.5" customHeight="1" x14ac:dyDescent="0.5">
      <c r="A24" s="5"/>
      <c r="B24" s="176" t="str">
        <f>HYPERLINK('Invoertabblad - verdeling'!A1,"Invoertabblad - verdeling")</f>
        <v>Invoertabblad - verdeling</v>
      </c>
      <c r="C24" s="177"/>
      <c r="E24" s="160" t="s">
        <v>372</v>
      </c>
      <c r="F24" s="161"/>
      <c r="G24" s="161"/>
      <c r="H24" s="161"/>
      <c r="I24" s="161"/>
      <c r="J24" s="161"/>
      <c r="K24" s="161"/>
      <c r="L24" s="161"/>
      <c r="M24" s="161"/>
      <c r="N24" s="161"/>
      <c r="O24" s="161"/>
      <c r="P24" s="162"/>
    </row>
    <row r="25" spans="1:16" ht="25.5" customHeight="1" thickBot="1" x14ac:dyDescent="0.55000000000000004">
      <c r="A25" s="5"/>
      <c r="B25" s="178"/>
      <c r="C25" s="179"/>
      <c r="E25" s="163"/>
      <c r="F25" s="164"/>
      <c r="G25" s="164"/>
      <c r="H25" s="164"/>
      <c r="I25" s="164"/>
      <c r="J25" s="164"/>
      <c r="K25" s="164"/>
      <c r="L25" s="164"/>
      <c r="M25" s="164"/>
      <c r="N25" s="164"/>
      <c r="O25" s="164"/>
      <c r="P25" s="165"/>
    </row>
    <row r="26" spans="1:16" ht="14.25" customHeight="1" thickBot="1" x14ac:dyDescent="0.55000000000000004">
      <c r="A26" s="5"/>
      <c r="B26" s="5"/>
      <c r="C26" s="5"/>
    </row>
    <row r="27" spans="1:16" ht="25.5" customHeight="1" x14ac:dyDescent="0.5">
      <c r="A27" s="5"/>
      <c r="B27" s="156" t="str">
        <f>HYPERLINK('Berekening van de verdeling'!A1,"Berekening van de verdeling")</f>
        <v>Berekening van de verdeling</v>
      </c>
      <c r="C27" s="157"/>
      <c r="E27" s="160" t="s">
        <v>373</v>
      </c>
      <c r="F27" s="161"/>
      <c r="G27" s="161"/>
      <c r="H27" s="161"/>
      <c r="I27" s="161"/>
      <c r="J27" s="161"/>
      <c r="K27" s="161"/>
      <c r="L27" s="161"/>
      <c r="M27" s="161"/>
      <c r="N27" s="161"/>
      <c r="O27" s="161"/>
      <c r="P27" s="162"/>
    </row>
    <row r="28" spans="1:16" ht="25.5" customHeight="1" thickBot="1" x14ac:dyDescent="0.55000000000000004">
      <c r="A28" s="5"/>
      <c r="B28" s="158"/>
      <c r="C28" s="159"/>
      <c r="E28" s="163"/>
      <c r="F28" s="164"/>
      <c r="G28" s="164"/>
      <c r="H28" s="164"/>
      <c r="I28" s="164"/>
      <c r="J28" s="164"/>
      <c r="K28" s="164"/>
      <c r="L28" s="164"/>
      <c r="M28" s="164"/>
      <c r="N28" s="164"/>
      <c r="O28" s="164"/>
      <c r="P28" s="165"/>
    </row>
    <row r="29" spans="1:16" ht="21.75" customHeight="1" x14ac:dyDescent="0.5"/>
  </sheetData>
  <sheetProtection sheet="1" objects="1" scenarios="1"/>
  <mergeCells count="13">
    <mergeCell ref="B27:C28"/>
    <mergeCell ref="E21:P22"/>
    <mergeCell ref="E24:P25"/>
    <mergeCell ref="E27:P28"/>
    <mergeCell ref="B7:P10"/>
    <mergeCell ref="B15:C16"/>
    <mergeCell ref="B21:C22"/>
    <mergeCell ref="B24:C25"/>
    <mergeCell ref="B12:C13"/>
    <mergeCell ref="E12:P13"/>
    <mergeCell ref="E15:P16"/>
    <mergeCell ref="B18:C19"/>
    <mergeCell ref="E18:P19"/>
  </mergeCells>
  <hyperlinks>
    <hyperlink ref="B12:C13" location="Regiokenmerken!A1" display="Regiokenmerken!A1" xr:uid="{6503E0E9-45C0-446A-9246-267205D5091D}"/>
    <hyperlink ref="B15:C16" location="'Uitkomsten verdeling'!A1" display="'Uitkomsten verdeling'!A1" xr:uid="{C1D8C274-8266-4702-818F-83EA5EEF5859}"/>
    <hyperlink ref="B18:C19" location="'Invoertabblad - regiokenmerken'!A1" display="'Invoertabblad - regiokenmerken'!A1" xr:uid="{97054F47-06E2-4D8C-A846-D6A2BED23B73}"/>
    <hyperlink ref="B21:C22" location="'Invoertabblad - geleverde zorg'!A1" display="'Invoertabblad - geleverde zorg'!A1" xr:uid="{3323A37B-B746-48E5-BA27-C7D5910D5FD9}"/>
    <hyperlink ref="B24:C25" location="'Invoertabblad - verdeling'!A1" display="'Invoertabblad - verdeling'!A1" xr:uid="{22F92C48-A366-42D4-A1B5-5F73C1617550}"/>
    <hyperlink ref="B27:C28" location="'Berekening van de verdeling'!A1" display="'Berekening van de verdeling'!A1" xr:uid="{27523066-2ED9-4392-90DA-218352B97EB7}"/>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22FC1-BBE8-4C30-97B8-BC86CE2D8CD9}">
  <sheetPr>
    <tabColor theme="5"/>
  </sheetPr>
  <dimension ref="A1:U68"/>
  <sheetViews>
    <sheetView showGridLines="0" zoomScale="80" zoomScaleNormal="80" workbookViewId="0"/>
  </sheetViews>
  <sheetFormatPr defaultRowHeight="17" x14ac:dyDescent="0.5"/>
  <cols>
    <col min="1" max="1" width="5.765625" customWidth="1"/>
    <col min="2" max="2" width="30.3046875" bestFit="1" customWidth="1"/>
    <col min="3" max="3" width="16.23046875" customWidth="1"/>
    <col min="4" max="4" width="5.07421875" customWidth="1"/>
    <col min="5" max="5" width="12.23046875" customWidth="1"/>
    <col min="6" max="9" width="8.765625" customWidth="1"/>
    <col min="10" max="10" width="5.07421875" customWidth="1"/>
    <col min="11" max="11" width="37.3046875" customWidth="1"/>
    <col min="12" max="12" width="8.765625" customWidth="1"/>
    <col min="13" max="15" width="6.3046875" customWidth="1"/>
    <col min="16" max="16" width="5.07421875" customWidth="1"/>
    <col min="17" max="17" width="30.69140625" customWidth="1"/>
    <col min="18" max="18" width="13.07421875" customWidth="1"/>
    <col min="19" max="19" width="5.07421875" customWidth="1"/>
    <col min="20" max="20" width="38.23046875" customWidth="1"/>
    <col min="21" max="21" width="13.07421875" bestFit="1" customWidth="1"/>
  </cols>
  <sheetData>
    <row r="1" spans="1:21" ht="15" customHeight="1" thickBot="1" x14ac:dyDescent="0.55000000000000004">
      <c r="A1" s="93" t="str">
        <f>HYPERLINK(Modeltoelichting!A1,"&lt;&lt;&lt;TERUG")</f>
        <v>&lt;&lt;&lt;TERUG</v>
      </c>
      <c r="B1" s="93"/>
      <c r="C1" s="93"/>
      <c r="D1" s="93"/>
      <c r="E1" s="93"/>
      <c r="F1" s="93"/>
      <c r="G1" s="93"/>
      <c r="H1" s="93"/>
      <c r="I1" s="93"/>
      <c r="J1" s="93"/>
    </row>
    <row r="2" spans="1:21" ht="22.5" customHeight="1" thickBot="1" x14ac:dyDescent="0.6">
      <c r="B2" s="3" t="s">
        <v>303</v>
      </c>
      <c r="C2" s="133" t="s">
        <v>343</v>
      </c>
      <c r="D2" s="134">
        <f>JaarModel</f>
        <v>0</v>
      </c>
      <c r="T2" s="10"/>
      <c r="U2" s="10"/>
    </row>
    <row r="3" spans="1:21" x14ac:dyDescent="0.5">
      <c r="B3" s="89" t="s">
        <v>374</v>
      </c>
      <c r="T3" s="10"/>
      <c r="U3" s="10"/>
    </row>
    <row r="4" spans="1:21" ht="15" customHeight="1" x14ac:dyDescent="0.5"/>
    <row r="5" spans="1:21" ht="15" customHeight="1" x14ac:dyDescent="0.5"/>
    <row r="6" spans="1:21" ht="15" customHeight="1" x14ac:dyDescent="0.5"/>
    <row r="7" spans="1:21" ht="15" customHeight="1" x14ac:dyDescent="0.5"/>
    <row r="8" spans="1:21" ht="15" customHeight="1" x14ac:dyDescent="0.5"/>
    <row r="9" spans="1:21" ht="15" customHeight="1" x14ac:dyDescent="0.5"/>
    <row r="10" spans="1:21" ht="15" customHeight="1" x14ac:dyDescent="0.5"/>
    <row r="11" spans="1:21" ht="15" customHeight="1" x14ac:dyDescent="0.5"/>
    <row r="12" spans="1:21" ht="15" customHeight="1" x14ac:dyDescent="0.5"/>
    <row r="13" spans="1:21" ht="15" customHeight="1" x14ac:dyDescent="0.5"/>
    <row r="14" spans="1:21" ht="15" customHeight="1" x14ac:dyDescent="0.5"/>
    <row r="15" spans="1:21" ht="15" customHeight="1" x14ac:dyDescent="0.5"/>
    <row r="16" spans="1:21" ht="15" customHeight="1" x14ac:dyDescent="0.5"/>
    <row r="17" spans="16:16" ht="15" customHeight="1" x14ac:dyDescent="0.5"/>
    <row r="18" spans="16:16" ht="15" customHeight="1" x14ac:dyDescent="0.5"/>
    <row r="19" spans="16:16" ht="15" customHeight="1" x14ac:dyDescent="0.5"/>
    <row r="20" spans="16:16" ht="15" customHeight="1" x14ac:dyDescent="0.5"/>
    <row r="21" spans="16:16" ht="15" customHeight="1" x14ac:dyDescent="0.5"/>
    <row r="22" spans="16:16" ht="15" customHeight="1" x14ac:dyDescent="0.5"/>
    <row r="23" spans="16:16" ht="15" customHeight="1" x14ac:dyDescent="0.5"/>
    <row r="24" spans="16:16" ht="15" customHeight="1" x14ac:dyDescent="0.5"/>
    <row r="25" spans="16:16" ht="15" customHeight="1" x14ac:dyDescent="0.5"/>
    <row r="26" spans="16:16" ht="15" customHeight="1" x14ac:dyDescent="0.5"/>
    <row r="27" spans="16:16" ht="15" customHeight="1" x14ac:dyDescent="0.5"/>
    <row r="28" spans="16:16" ht="15" customHeight="1" x14ac:dyDescent="0.5"/>
    <row r="29" spans="16:16" ht="15" customHeight="1" x14ac:dyDescent="0.5"/>
    <row r="30" spans="16:16" ht="15" customHeight="1" x14ac:dyDescent="0.5"/>
    <row r="31" spans="16:16" ht="15" customHeight="1" x14ac:dyDescent="0.5"/>
    <row r="32" spans="16:16" ht="15" customHeight="1" x14ac:dyDescent="0.5">
      <c r="P32" s="88"/>
    </row>
    <row r="33" spans="2:21" ht="15" customHeight="1" x14ac:dyDescent="0.5"/>
    <row r="34" spans="2:21" s="89" customFormat="1" x14ac:dyDescent="0.5"/>
    <row r="35" spans="2:21" s="89" customFormat="1" x14ac:dyDescent="0.5">
      <c r="E35"/>
      <c r="F35" s="128" t="s">
        <v>267</v>
      </c>
      <c r="G35" s="129"/>
      <c r="H35" s="129"/>
      <c r="I35" s="53"/>
    </row>
    <row r="36" spans="2:21" s="89" customFormat="1" ht="17.5" thickBot="1" x14ac:dyDescent="0.55000000000000004">
      <c r="B36" s="116" t="s">
        <v>281</v>
      </c>
      <c r="C36" s="1" t="s">
        <v>127</v>
      </c>
      <c r="E36" s="114" t="s">
        <v>131</v>
      </c>
      <c r="F36" s="114" t="s">
        <v>1</v>
      </c>
      <c r="G36" s="114" t="s">
        <v>2</v>
      </c>
      <c r="H36" s="114" t="s">
        <v>251</v>
      </c>
      <c r="I36" s="114" t="s">
        <v>145</v>
      </c>
      <c r="K36" s="116" t="s">
        <v>282</v>
      </c>
      <c r="L36" s="105" t="s">
        <v>127</v>
      </c>
      <c r="Q36" s="113" t="s">
        <v>7</v>
      </c>
      <c r="R36" s="113" t="s">
        <v>259</v>
      </c>
      <c r="T36" s="113" t="s">
        <v>221</v>
      </c>
      <c r="U36" s="113" t="s">
        <v>259</v>
      </c>
    </row>
    <row r="37" spans="2:21" s="89" customFormat="1" x14ac:dyDescent="0.5">
      <c r="B37" s="90" t="s">
        <v>1</v>
      </c>
      <c r="C37" s="91">
        <f>SUMIFS('Invoertabblad - regiokenmerken'!E:E,'Invoertabblad - regiokenmerken'!B:B,B37)</f>
        <v>0</v>
      </c>
      <c r="E37" s="90" t="s">
        <v>228</v>
      </c>
      <c r="F37" s="91">
        <f>SUMIFS('Invoertabblad - regiokenmerken'!$E:$E,'Invoertabblad - regiokenmerken'!$B:$B,F$36,'Invoertabblad - regiokenmerken'!$D:$D,$E37)</f>
        <v>0</v>
      </c>
      <c r="G37" s="91">
        <f>SUMIFS('Invoertabblad - regiokenmerken'!$E:$E,'Invoertabblad - regiokenmerken'!$B:$B,G$36,'Invoertabblad - regiokenmerken'!$D:$D,$E37)</f>
        <v>0</v>
      </c>
      <c r="H37" s="106">
        <f>SUMIFS('Invoertabblad - regiokenmerken'!$E:$E,'Invoertabblad - regiokenmerken'!$B:$B,H$36,'Invoertabblad - regiokenmerken'!$D:$D,$E37)</f>
        <v>0</v>
      </c>
      <c r="I37" s="108">
        <f t="shared" ref="I37:I42" si="0">SUM(F37:H37)</f>
        <v>0</v>
      </c>
      <c r="K37" s="90" t="s">
        <v>273</v>
      </c>
      <c r="L37" s="91">
        <f>SUMIFS('Invoertabblad - regiokenmerken'!E:E,'Invoertabblad - regiokenmerken'!B:B,"1e lijn",'Invoertabblad - regiokenmerken'!C:C,"ante partum")</f>
        <v>0</v>
      </c>
      <c r="Q37" s="90" t="s">
        <v>253</v>
      </c>
      <c r="R37" s="91">
        <f>SUMIFS('Invoertabblad - regiokenmerken'!K:K,'Invoertabblad - regiokenmerken'!J:J,Q37)</f>
        <v>0</v>
      </c>
      <c r="T37" s="90" t="s">
        <v>224</v>
      </c>
      <c r="U37" s="91">
        <f>SUMIFS('Invoertabblad - regiokenmerken'!H:H,'Invoertabblad - regiokenmerken'!G:G,T37)</f>
        <v>0</v>
      </c>
    </row>
    <row r="38" spans="2:21" s="89" customFormat="1" x14ac:dyDescent="0.5">
      <c r="B38" s="90" t="s">
        <v>2</v>
      </c>
      <c r="C38" s="91">
        <f>SUMIFS('Invoertabblad - regiokenmerken'!E:E,'Invoertabblad - regiokenmerken'!B:B,B38)</f>
        <v>0</v>
      </c>
      <c r="E38" s="90" t="s">
        <v>251</v>
      </c>
      <c r="F38" s="91">
        <f>SUMIFS('Invoertabblad - regiokenmerken'!$E:$E,'Invoertabblad - regiokenmerken'!B:B,F$36,'Invoertabblad - regiokenmerken'!$D:$D,$E38)</f>
        <v>0</v>
      </c>
      <c r="G38" s="91">
        <f>SUMIFS('Invoertabblad - regiokenmerken'!$E:$E,'Invoertabblad - regiokenmerken'!$B:$B,G$36,'Invoertabblad - regiokenmerken'!$D:$D,$E38)</f>
        <v>0</v>
      </c>
      <c r="H38" s="106">
        <f>SUMIFS('Invoertabblad - regiokenmerken'!$E:$E,'Invoertabblad - regiokenmerken'!$B:$B,H$36,'Invoertabblad - regiokenmerken'!$D:$D,$E38)</f>
        <v>0</v>
      </c>
      <c r="I38" s="109">
        <f t="shared" si="0"/>
        <v>0</v>
      </c>
      <c r="K38" s="90" t="s">
        <v>274</v>
      </c>
      <c r="L38" s="91">
        <f>SUMIFS('Invoertabblad - regiokenmerken'!E:E,'Invoertabblad - regiokenmerken'!B:B,"1e lijn",'Invoertabblad - regiokenmerken'!C:C,"Durante partu")</f>
        <v>0</v>
      </c>
      <c r="M38" s="96"/>
      <c r="Q38" s="90" t="s">
        <v>254</v>
      </c>
      <c r="R38" s="91">
        <f>SUMIFS('Invoertabblad - regiokenmerken'!K:K,'Invoertabblad - regiokenmerken'!J:J,Q38)</f>
        <v>0</v>
      </c>
      <c r="T38" s="90" t="s">
        <v>250</v>
      </c>
      <c r="U38" s="91">
        <f>SUMIFS('Invoertabblad - regiokenmerken'!H:H,'Invoertabblad - regiokenmerken'!G:G,T38)</f>
        <v>0</v>
      </c>
    </row>
    <row r="39" spans="2:21" s="89" customFormat="1" ht="17.5" thickBot="1" x14ac:dyDescent="0.55000000000000004">
      <c r="B39" s="97" t="s">
        <v>251</v>
      </c>
      <c r="C39" s="98">
        <f>SUMIFS('Invoertabblad - regiokenmerken'!E:E,'Invoertabblad - regiokenmerken'!B:B,B39)</f>
        <v>0</v>
      </c>
      <c r="E39" s="90" t="s">
        <v>227</v>
      </c>
      <c r="F39" s="91">
        <f>SUMIFS('Invoertabblad - regiokenmerken'!$E:$E,'Invoertabblad - regiokenmerken'!B:B,F$36,'Invoertabblad - regiokenmerken'!$D:$D,$E39)</f>
        <v>0</v>
      </c>
      <c r="G39" s="91">
        <f>SUMIFS('Invoertabblad - regiokenmerken'!$E:$E,'Invoertabblad - regiokenmerken'!$B:$B,G$36,'Invoertabblad - regiokenmerken'!$D:$D,$E39)</f>
        <v>0</v>
      </c>
      <c r="H39" s="106">
        <f>SUMIFS('Invoertabblad - regiokenmerken'!$E:$E,'Invoertabblad - regiokenmerken'!$B:$B,H$36,'Invoertabblad - regiokenmerken'!$D:$D,$E39)</f>
        <v>0</v>
      </c>
      <c r="I39" s="109">
        <f t="shared" si="0"/>
        <v>0</v>
      </c>
      <c r="K39" s="90" t="s">
        <v>276</v>
      </c>
      <c r="L39" s="91">
        <f>SUMIFS('Invoertabblad - regiokenmerken'!E:E,'Invoertabblad - regiokenmerken'!B:B,"1e lijn",'Invoertabblad - regiokenmerken'!C:C,"onduidelijk")</f>
        <v>0</v>
      </c>
      <c r="Q39" s="90" t="s">
        <v>260</v>
      </c>
      <c r="R39" s="92" t="e">
        <f>R38/R37</f>
        <v>#DIV/0!</v>
      </c>
      <c r="T39" s="90" t="s">
        <v>234</v>
      </c>
      <c r="U39" s="91">
        <f>SUMIFS('Invoertabblad - regiokenmerken'!H:H,'Invoertabblad - regiokenmerken'!G:G,T39)</f>
        <v>0</v>
      </c>
    </row>
    <row r="40" spans="2:21" s="89" customFormat="1" ht="17.5" thickBot="1" x14ac:dyDescent="0.55000000000000004">
      <c r="B40" s="99" t="s">
        <v>145</v>
      </c>
      <c r="C40" s="100">
        <f>SUM(C37:C39)</f>
        <v>0</v>
      </c>
      <c r="E40" s="90" t="s">
        <v>226</v>
      </c>
      <c r="F40" s="91">
        <f>SUMIFS('Invoertabblad - regiokenmerken'!$E:$E,'Invoertabblad - regiokenmerken'!B:B,F$36,'Invoertabblad - regiokenmerken'!$D:$D,$E40)</f>
        <v>0</v>
      </c>
      <c r="G40" s="91">
        <f>SUMIFS('Invoertabblad - regiokenmerken'!$E:$E,'Invoertabblad - regiokenmerken'!$B:$B,G$36,'Invoertabblad - regiokenmerken'!$D:$D,$E40)</f>
        <v>0</v>
      </c>
      <c r="H40" s="106">
        <f>SUMIFS('Invoertabblad - regiokenmerken'!$E:$E,'Invoertabblad - regiokenmerken'!$B:$B,H$36,'Invoertabblad - regiokenmerken'!$D:$D,$E40)</f>
        <v>0</v>
      </c>
      <c r="I40" s="109">
        <f t="shared" si="0"/>
        <v>0</v>
      </c>
      <c r="K40" s="97" t="s">
        <v>275</v>
      </c>
      <c r="L40" s="98">
        <f>SUMIFS('Invoertabblad - regiokenmerken'!E:E,'Invoertabblad - regiokenmerken'!B:B,"1e lijn",'Invoertabblad - regiokenmerken'!C:C,"postpartum")</f>
        <v>0</v>
      </c>
      <c r="Q40" s="90" t="s">
        <v>255</v>
      </c>
      <c r="R40" s="91">
        <f>R43-R37</f>
        <v>0</v>
      </c>
      <c r="T40" s="90" t="s">
        <v>246</v>
      </c>
      <c r="U40" s="91">
        <f>SUMIFS('Invoertabblad - regiokenmerken'!H:H,'Invoertabblad - regiokenmerken'!G:G,T40)</f>
        <v>0</v>
      </c>
    </row>
    <row r="41" spans="2:21" s="89" customFormat="1" ht="17.5" thickBot="1" x14ac:dyDescent="0.55000000000000004">
      <c r="E41" s="97" t="s">
        <v>230</v>
      </c>
      <c r="F41" s="98">
        <f>SUMIFS('Invoertabblad - regiokenmerken'!$E:$E,'Invoertabblad - regiokenmerken'!B:B,F$36,'Invoertabblad - regiokenmerken'!$D:$D,$E41)</f>
        <v>0</v>
      </c>
      <c r="G41" s="98">
        <f>SUMIFS('Invoertabblad - regiokenmerken'!$E:$E,'Invoertabblad - regiokenmerken'!$B:$B,G$36,'Invoertabblad - regiokenmerken'!$D:$D,$E41)</f>
        <v>0</v>
      </c>
      <c r="H41" s="107">
        <f>SUMIFS('Invoertabblad - regiokenmerken'!$E:$E,'Invoertabblad - regiokenmerken'!$B:$B,H$36,'Invoertabblad - regiokenmerken'!$D:$D,$E41)</f>
        <v>0</v>
      </c>
      <c r="I41" s="110">
        <f t="shared" si="0"/>
        <v>0</v>
      </c>
      <c r="K41" s="99" t="s">
        <v>145</v>
      </c>
      <c r="L41" s="100">
        <f>SUM(L37:L40)</f>
        <v>0</v>
      </c>
      <c r="Q41" s="90" t="s">
        <v>257</v>
      </c>
      <c r="R41" s="91">
        <f>R44-R38</f>
        <v>0</v>
      </c>
      <c r="T41" s="90" t="s">
        <v>233</v>
      </c>
      <c r="U41" s="91">
        <f>SUMIFS('Invoertabblad - regiokenmerken'!H:H,'Invoertabblad - regiokenmerken'!G:G,T41)</f>
        <v>0</v>
      </c>
    </row>
    <row r="42" spans="2:21" s="89" customFormat="1" ht="17.5" thickBot="1" x14ac:dyDescent="0.55000000000000004">
      <c r="E42" s="99" t="s">
        <v>145</v>
      </c>
      <c r="F42" s="104">
        <f>SUM(F37:F41)</f>
        <v>0</v>
      </c>
      <c r="G42" s="104">
        <f>SUM(G37:G41)</f>
        <v>0</v>
      </c>
      <c r="H42" s="115">
        <f>SUM(H37:H41)</f>
        <v>0</v>
      </c>
      <c r="I42" s="111">
        <f t="shared" si="0"/>
        <v>0</v>
      </c>
      <c r="Q42" s="97" t="s">
        <v>261</v>
      </c>
      <c r="R42" s="117" t="e">
        <f>R41/R40</f>
        <v>#DIV/0!</v>
      </c>
      <c r="T42" s="90" t="s">
        <v>245</v>
      </c>
      <c r="U42" s="91">
        <f>SUMIFS('Invoertabblad - regiokenmerken'!H:H,'Invoertabblad - regiokenmerken'!G:G,T42)</f>
        <v>0</v>
      </c>
    </row>
    <row r="43" spans="2:21" s="89" customFormat="1" x14ac:dyDescent="0.5">
      <c r="Q43" s="118" t="s">
        <v>256</v>
      </c>
      <c r="R43" s="119">
        <f>SUMIFS('Invoertabblad - regiokenmerken'!K:K,'Invoertabblad - regiokenmerken'!J:J,Q43)</f>
        <v>0</v>
      </c>
      <c r="T43" s="90" t="s">
        <v>235</v>
      </c>
      <c r="U43" s="91">
        <f>SUMIFS('Invoertabblad - regiokenmerken'!H:H,'Invoertabblad - regiokenmerken'!G:G,T43)</f>
        <v>0</v>
      </c>
    </row>
    <row r="44" spans="2:21" s="89" customFormat="1" x14ac:dyDescent="0.5">
      <c r="F44" s="103"/>
      <c r="G44" s="103"/>
      <c r="H44" s="103"/>
      <c r="I44" s="103"/>
      <c r="Q44" s="120" t="s">
        <v>258</v>
      </c>
      <c r="R44" s="121">
        <f>SUMIFS('Invoertabblad - regiokenmerken'!K:K,'Invoertabblad - regiokenmerken'!J:J,Q44)</f>
        <v>0</v>
      </c>
      <c r="T44" s="90" t="s">
        <v>238</v>
      </c>
      <c r="U44" s="91">
        <f>SUMIFS('Invoertabblad - regiokenmerken'!H:H,'Invoertabblad - regiokenmerken'!G:G,T44)</f>
        <v>0</v>
      </c>
    </row>
    <row r="45" spans="2:21" s="89" customFormat="1" ht="17.5" thickBot="1" x14ac:dyDescent="0.55000000000000004">
      <c r="Q45" s="122" t="s">
        <v>262</v>
      </c>
      <c r="R45" s="123" t="e">
        <f>R44/R43</f>
        <v>#DIV/0!</v>
      </c>
      <c r="S45" s="10"/>
      <c r="T45" s="90" t="s">
        <v>236</v>
      </c>
      <c r="U45" s="91">
        <f>SUMIFS('Invoertabblad - regiokenmerken'!H:H,'Invoertabblad - regiokenmerken'!G:G,T45)</f>
        <v>0</v>
      </c>
    </row>
    <row r="46" spans="2:21" s="89" customFormat="1" ht="17.5" thickBot="1" x14ac:dyDescent="0.55000000000000004">
      <c r="T46" s="90" t="s">
        <v>242</v>
      </c>
      <c r="U46" s="91">
        <f>SUMIFS('Invoertabblad - regiokenmerken'!H:H,'Invoertabblad - regiokenmerken'!G:G,T46)</f>
        <v>0</v>
      </c>
    </row>
    <row r="47" spans="2:21" s="89" customFormat="1" ht="16.5" customHeight="1" x14ac:dyDescent="0.5">
      <c r="Q47" s="180" t="s">
        <v>285</v>
      </c>
      <c r="R47" s="181"/>
      <c r="T47" s="90" t="s">
        <v>243</v>
      </c>
      <c r="U47" s="91">
        <f>SUMIFS('Invoertabblad - regiokenmerken'!H:H,'Invoertabblad - regiokenmerken'!G:G,T47)</f>
        <v>0</v>
      </c>
    </row>
    <row r="48" spans="2:21" s="89" customFormat="1" x14ac:dyDescent="0.5">
      <c r="Q48" s="182"/>
      <c r="R48" s="183"/>
      <c r="T48" s="90" t="s">
        <v>237</v>
      </c>
      <c r="U48" s="91">
        <f>SUMIFS('Invoertabblad - regiokenmerken'!H:H,'Invoertabblad - regiokenmerken'!G:G,T48)</f>
        <v>0</v>
      </c>
    </row>
    <row r="49" spans="11:21" s="89" customFormat="1" x14ac:dyDescent="0.5">
      <c r="Q49" s="182"/>
      <c r="R49" s="183"/>
      <c r="T49" s="90" t="s">
        <v>241</v>
      </c>
      <c r="U49" s="91">
        <f>SUMIFS('Invoertabblad - regiokenmerken'!H:H,'Invoertabblad - regiokenmerken'!G:G,T49)</f>
        <v>0</v>
      </c>
    </row>
    <row r="50" spans="11:21" s="89" customFormat="1" ht="17.5" thickBot="1" x14ac:dyDescent="0.55000000000000004">
      <c r="Q50" s="184"/>
      <c r="R50" s="185"/>
      <c r="T50" s="90" t="s">
        <v>240</v>
      </c>
      <c r="U50" s="91">
        <f>SUMIFS('Invoertabblad - regiokenmerken'!H:H,'Invoertabblad - regiokenmerken'!G:G,T50)</f>
        <v>0</v>
      </c>
    </row>
    <row r="51" spans="11:21" s="89" customFormat="1" x14ac:dyDescent="0.5">
      <c r="T51" s="90" t="s">
        <v>244</v>
      </c>
      <c r="U51" s="91">
        <f>SUMIFS('Invoertabblad - regiokenmerken'!H:H,'Invoertabblad - regiokenmerken'!G:G,T51)</f>
        <v>0</v>
      </c>
    </row>
    <row r="52" spans="11:21" s="89" customFormat="1" x14ac:dyDescent="0.5">
      <c r="T52" s="90" t="s">
        <v>376</v>
      </c>
      <c r="U52" s="91">
        <f>SUMIFS('Invoertabblad - regiokenmerken'!H:H,'Invoertabblad - regiokenmerken'!G:G,T52)</f>
        <v>0</v>
      </c>
    </row>
    <row r="53" spans="11:21" s="89" customFormat="1" x14ac:dyDescent="0.5">
      <c r="T53" s="90" t="s">
        <v>377</v>
      </c>
      <c r="U53" s="91">
        <f>SUMIFS('Invoertabblad - regiokenmerken'!H:H,'Invoertabblad - regiokenmerken'!G:G,T53)</f>
        <v>0</v>
      </c>
    </row>
    <row r="54" spans="11:21" s="89" customFormat="1" x14ac:dyDescent="0.5">
      <c r="T54" s="90" t="s">
        <v>247</v>
      </c>
      <c r="U54" s="91">
        <f>SUMIFS('Invoertabblad - regiokenmerken'!H:H,'Invoertabblad - regiokenmerken'!G:G,T54)</f>
        <v>0</v>
      </c>
    </row>
    <row r="55" spans="11:21" s="89" customFormat="1" x14ac:dyDescent="0.5">
      <c r="T55" s="90" t="s">
        <v>248</v>
      </c>
      <c r="U55" s="91">
        <f>SUMIFS('Invoertabblad - regiokenmerken'!H:H,'Invoertabblad - regiokenmerken'!G:G,T55)</f>
        <v>0</v>
      </c>
    </row>
    <row r="56" spans="11:21" s="89" customFormat="1" x14ac:dyDescent="0.5"/>
    <row r="57" spans="11:21" s="89" customFormat="1" x14ac:dyDescent="0.5"/>
    <row r="58" spans="11:21" s="89" customFormat="1" x14ac:dyDescent="0.5"/>
    <row r="59" spans="11:21" s="89" customFormat="1" x14ac:dyDescent="0.5"/>
    <row r="60" spans="11:21" s="89" customFormat="1" x14ac:dyDescent="0.5">
      <c r="K60" s="89" t="s">
        <v>283</v>
      </c>
    </row>
    <row r="61" spans="11:21" s="89" customFormat="1" x14ac:dyDescent="0.5">
      <c r="K61" s="101"/>
      <c r="L61" s="101"/>
      <c r="M61" s="101" t="s">
        <v>278</v>
      </c>
      <c r="N61" s="101" t="s">
        <v>277</v>
      </c>
      <c r="O61" s="101" t="s">
        <v>279</v>
      </c>
    </row>
    <row r="62" spans="11:21" x14ac:dyDescent="0.5">
      <c r="K62" s="101" t="s">
        <v>272</v>
      </c>
      <c r="L62" s="102">
        <f>SUMIFS('Invoertabblad - regiokenmerken'!E:E,'Invoertabblad - regiokenmerken'!B:B,"1e lijn")</f>
        <v>0</v>
      </c>
      <c r="M62" s="102">
        <f>L62</f>
        <v>0</v>
      </c>
      <c r="N62" s="101">
        <v>0</v>
      </c>
      <c r="O62" s="101"/>
    </row>
    <row r="63" spans="11:21" x14ac:dyDescent="0.5">
      <c r="K63" s="101" t="s">
        <v>273</v>
      </c>
      <c r="L63" s="102">
        <f>SUMIFS('Invoertabblad - regiokenmerken'!E:E,'Invoertabblad - regiokenmerken'!B:B,"1e lijn",'Invoertabblad - regiokenmerken'!C:C,"ante partum")</f>
        <v>0</v>
      </c>
      <c r="M63" s="101"/>
      <c r="N63" s="102">
        <f>L62-L63</f>
        <v>0</v>
      </c>
      <c r="O63" s="102">
        <f>L63</f>
        <v>0</v>
      </c>
    </row>
    <row r="64" spans="11:21" x14ac:dyDescent="0.5">
      <c r="K64" s="101" t="s">
        <v>274</v>
      </c>
      <c r="L64" s="102">
        <f>SUMIFS('Invoertabblad - regiokenmerken'!E:E,'Invoertabblad - regiokenmerken'!B:B,"1e lijn",'Invoertabblad - regiokenmerken'!C:C,"Durante partu")</f>
        <v>0</v>
      </c>
      <c r="M64" s="101"/>
      <c r="N64" s="102">
        <f>N63-L64</f>
        <v>0</v>
      </c>
      <c r="O64" s="102">
        <f t="shared" ref="O64:O65" si="1">L64</f>
        <v>0</v>
      </c>
    </row>
    <row r="65" spans="11:15" x14ac:dyDescent="0.5">
      <c r="K65" s="101" t="s">
        <v>276</v>
      </c>
      <c r="L65" s="102">
        <f>SUMIFS('Invoertabblad - regiokenmerken'!E:E,'Invoertabblad - regiokenmerken'!B:B,"1e lijn",'Invoertabblad - regiokenmerken'!C:C,"onduidelijk")</f>
        <v>0</v>
      </c>
      <c r="M65" s="101"/>
      <c r="N65" s="102">
        <f>N64-L65</f>
        <v>0</v>
      </c>
      <c r="O65" s="102">
        <f t="shared" si="1"/>
        <v>0</v>
      </c>
    </row>
    <row r="66" spans="11:15" x14ac:dyDescent="0.5">
      <c r="K66" s="101" t="s">
        <v>375</v>
      </c>
      <c r="L66" s="102">
        <f>SUMIFS('Invoertabblad - regiokenmerken'!E:E,'Invoertabblad - regiokenmerken'!B:B,"1e lijn",'Invoertabblad - regiokenmerken'!C:C,"geen")+
SUMIFS('Invoertabblad - regiokenmerken'!E:E,'Invoertabblad - regiokenmerken'!B:B,"1e lijn",'Invoertabblad - regiokenmerken'!C:C,"postpartum")</f>
        <v>0</v>
      </c>
      <c r="M66" s="102">
        <f>L66</f>
        <v>0</v>
      </c>
      <c r="N66" s="101">
        <v>0</v>
      </c>
      <c r="O66" s="101"/>
    </row>
    <row r="67" spans="11:15" x14ac:dyDescent="0.5">
      <c r="K67" s="101" t="s">
        <v>275</v>
      </c>
      <c r="L67" s="102">
        <f>SUMIFS('Invoertabblad - regiokenmerken'!E:E,'Invoertabblad - regiokenmerken'!B:B,"1e lijn",'Invoertabblad - regiokenmerken'!C:C,"postpartum")</f>
        <v>0</v>
      </c>
      <c r="M67" s="101"/>
      <c r="N67" s="102">
        <f>M66-L67</f>
        <v>0</v>
      </c>
      <c r="O67" s="102">
        <f>L67</f>
        <v>0</v>
      </c>
    </row>
    <row r="68" spans="11:15" x14ac:dyDescent="0.5">
      <c r="K68" s="101" t="s">
        <v>280</v>
      </c>
      <c r="L68" s="102">
        <f>L66-L67</f>
        <v>0</v>
      </c>
      <c r="M68" s="102">
        <f>L68</f>
        <v>0</v>
      </c>
      <c r="N68" s="101">
        <v>0</v>
      </c>
      <c r="O68" s="101"/>
    </row>
  </sheetData>
  <sheetProtection sheet="1" objects="1" scenarios="1"/>
  <mergeCells count="1">
    <mergeCell ref="Q47:R50"/>
  </mergeCells>
  <hyperlinks>
    <hyperlink ref="A1" location="Modeltoelichting!A1" display="Modeltoelichting!A1" xr:uid="{94A193B0-0E4D-4470-B82C-7E3C80137A73}"/>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F6818-C92E-4767-9B56-345FC00CF7D8}">
  <sheetPr>
    <tabColor theme="5"/>
  </sheetPr>
  <dimension ref="A1:T53"/>
  <sheetViews>
    <sheetView showGridLines="0" zoomScale="80" zoomScaleNormal="80" workbookViewId="0"/>
  </sheetViews>
  <sheetFormatPr defaultRowHeight="17" x14ac:dyDescent="0.5"/>
  <cols>
    <col min="2" max="2" width="43.23046875" customWidth="1"/>
    <col min="3" max="4" width="15.765625" customWidth="1"/>
    <col min="7" max="7" width="33.69140625" customWidth="1"/>
    <col min="8" max="8" width="15.765625" customWidth="1"/>
    <col min="9" max="9" width="15.07421875" customWidth="1"/>
    <col min="10" max="10" width="19.23046875" customWidth="1"/>
    <col min="11" max="12" width="15.765625" customWidth="1"/>
    <col min="13" max="13" width="15.07421875" customWidth="1"/>
    <col min="14" max="14" width="19.23046875" customWidth="1"/>
    <col min="15" max="16" width="15.765625" customWidth="1"/>
    <col min="17" max="17" width="15.07421875" customWidth="1"/>
    <col min="18" max="18" width="19.23046875" customWidth="1"/>
    <col min="19" max="20" width="15.765625" customWidth="1"/>
  </cols>
  <sheetData>
    <row r="1" spans="1:20" ht="17.5" thickBot="1" x14ac:dyDescent="0.55000000000000004">
      <c r="A1" s="93" t="str">
        <f>HYPERLINK(Modeltoelichting!A1,"&lt;&lt;&lt;TERUG")</f>
        <v>&lt;&lt;&lt;TERUG</v>
      </c>
      <c r="B1" s="87"/>
    </row>
    <row r="2" spans="1:20" ht="17.5" thickBot="1" x14ac:dyDescent="0.55000000000000004">
      <c r="A2" s="93"/>
      <c r="B2" s="133" t="s">
        <v>343</v>
      </c>
      <c r="C2" s="134">
        <f>JaarModel</f>
        <v>0</v>
      </c>
    </row>
    <row r="3" spans="1:20" x14ac:dyDescent="0.5">
      <c r="A3" s="93"/>
      <c r="B3" s="87"/>
    </row>
    <row r="4" spans="1:20" ht="17.5" thickBot="1" x14ac:dyDescent="0.55000000000000004"/>
    <row r="5" spans="1:20" ht="21" thickBot="1" x14ac:dyDescent="0.6">
      <c r="B5" s="43" t="s">
        <v>263</v>
      </c>
      <c r="C5" s="44"/>
      <c r="D5" s="45"/>
      <c r="G5" s="43" t="s">
        <v>305</v>
      </c>
      <c r="H5" s="44"/>
      <c r="I5" s="44"/>
      <c r="J5" s="44"/>
      <c r="K5" s="44"/>
      <c r="L5" s="44"/>
      <c r="M5" s="44"/>
      <c r="N5" s="44"/>
      <c r="O5" s="44"/>
      <c r="P5" s="44"/>
      <c r="Q5" s="44"/>
      <c r="R5" s="44"/>
      <c r="S5" s="44"/>
      <c r="T5" s="45"/>
    </row>
    <row r="37" spans="2:20" s="5" customFormat="1" ht="51" x14ac:dyDescent="0.5">
      <c r="C37" s="46" t="s">
        <v>127</v>
      </c>
      <c r="D37" s="46" t="s">
        <v>155</v>
      </c>
      <c r="H37" s="46" t="s">
        <v>174</v>
      </c>
      <c r="J37" s="46" t="s">
        <v>130</v>
      </c>
      <c r="K37" s="46" t="s">
        <v>173</v>
      </c>
      <c r="L37" s="46" t="s">
        <v>269</v>
      </c>
      <c r="N37" s="46" t="s">
        <v>290</v>
      </c>
      <c r="O37" s="46" t="s">
        <v>173</v>
      </c>
      <c r="P37" s="46" t="s">
        <v>269</v>
      </c>
      <c r="R37" s="46" t="s">
        <v>130</v>
      </c>
      <c r="S37" s="46" t="s">
        <v>173</v>
      </c>
      <c r="T37" s="46" t="s">
        <v>269</v>
      </c>
    </row>
    <row r="38" spans="2:20" x14ac:dyDescent="0.5">
      <c r="B38" s="2" t="s">
        <v>138</v>
      </c>
      <c r="C38" s="31">
        <f>Aantal_integrale_geboortezorg_prestaties_Kraamzorg_postnataal_per_uur</f>
        <v>0</v>
      </c>
      <c r="D38" s="32">
        <f>C38*Gecontracteerd_tarief_per_integrale_geboortezorg_prestatie_Kraamzorg_postnataal_per_uur/1000</f>
        <v>0</v>
      </c>
      <c r="G38" s="2" t="s">
        <v>130</v>
      </c>
      <c r="H38" s="32" t="e">
        <f>'Berekening van de verdeling'!D57/10^3</f>
        <v>#DIV/0!</v>
      </c>
      <c r="J38" s="2" t="str">
        <f>NaamZiekenhuis_1</f>
        <v>TestZkh1</v>
      </c>
      <c r="K38" s="32">
        <f>SUMIFS('Berekening van de verdeling'!AR:AR,'Berekening van de verdeling'!AH:AH,J38)/1000</f>
        <v>0</v>
      </c>
      <c r="L38" s="31">
        <f>IFERROR(SUMIFS('Invoertabblad - geleverde zorg'!$S:$S,'Invoertabblad - geleverde zorg'!$I:$I,J38),"n.v.t.")</f>
        <v>0</v>
      </c>
      <c r="N38" s="2" t="str">
        <f>NaamPraktijk_1</f>
        <v>TestPraktijk 1</v>
      </c>
      <c r="O38" s="32">
        <f>SUMIFS('Berekening van de verdeling'!AR:AR,'Berekening van de verdeling'!AH:AH,N38)/1000</f>
        <v>0</v>
      </c>
      <c r="P38" s="31">
        <f>IFERROR(SUMIFS('Invoertabblad - geleverde zorg'!$S:$S,'Invoertabblad - geleverde zorg'!$I:$I,N38),"n.v.t.")</f>
        <v>0</v>
      </c>
      <c r="R38" s="2" t="str">
        <f>NaamKraamzorgorganisatie_1</f>
        <v>TestKraamzorgorganisatie 1</v>
      </c>
      <c r="S38" s="32">
        <f>SUMIFS('Berekening van de verdeling'!AR:AR,'Berekening van de verdeling'!AH:AH,R38)/1000</f>
        <v>0</v>
      </c>
      <c r="T38" s="31">
        <f>IFERROR(SUMIFS('Invoertabblad - geleverde zorg'!$S:$S,'Invoertabblad - geleverde zorg'!$I:$I,R38),"n.v.t.")</f>
        <v>0</v>
      </c>
    </row>
    <row r="39" spans="2:20" x14ac:dyDescent="0.5">
      <c r="B39" s="2" t="s">
        <v>133</v>
      </c>
      <c r="C39" s="31">
        <f>Aantal_integrale_geboortezorg_prestaties_Geboortezorg_prenataal</f>
        <v>0</v>
      </c>
      <c r="D39" s="32">
        <f>C39*Gecontracteerd_tarief_per_integrale_geboortezorg_prestatie_Geboortezorg_prenataal/1000</f>
        <v>0</v>
      </c>
      <c r="G39" s="2" t="s">
        <v>3</v>
      </c>
      <c r="H39" s="32" t="e">
        <f>'Berekening van de verdeling'!E57/10^3</f>
        <v>#DIV/0!</v>
      </c>
      <c r="J39" s="2" t="str">
        <f>NaamZiekenhuis_2</f>
        <v>TestZkh2</v>
      </c>
      <c r="K39" s="32">
        <f>SUMIFS('Berekening van de verdeling'!AR:AR,'Berekening van de verdeling'!AH:AH,J39)/1000</f>
        <v>0</v>
      </c>
      <c r="L39" s="31">
        <f>IFERROR(SUMIFS('Invoertabblad - geleverde zorg'!$S:$S,'Invoertabblad - geleverde zorg'!$I:$I,J39),"n.v.t.")</f>
        <v>0</v>
      </c>
      <c r="N39" s="2" t="str">
        <f>NaamPraktijk_2</f>
        <v>TestPraktijk 2</v>
      </c>
      <c r="O39" s="32">
        <f>SUMIFS('Berekening van de verdeling'!AR:AR,'Berekening van de verdeling'!AH:AH,N39)/1000</f>
        <v>0</v>
      </c>
      <c r="P39" s="31">
        <f>IFERROR(SUMIFS('Invoertabblad - geleverde zorg'!$S:$S,'Invoertabblad - geleverde zorg'!$I:$I,N39),"n.v.t.")</f>
        <v>0</v>
      </c>
      <c r="R39" s="2" t="str">
        <f>NaamKraamzorgorganisatie_2</f>
        <v>TestKraamzorgorganisatie 2</v>
      </c>
      <c r="S39" s="32">
        <f>SUMIFS('Berekening van de verdeling'!AR:AR,'Berekening van de verdeling'!AH:AH,R39)/1000</f>
        <v>0</v>
      </c>
      <c r="T39" s="31">
        <f>IFERROR(SUMIFS('Invoertabblad - geleverde zorg'!$S:$S,'Invoertabblad - geleverde zorg'!$I:$I,R39),"n.v.t.")</f>
        <v>0</v>
      </c>
    </row>
    <row r="40" spans="2:20" x14ac:dyDescent="0.5">
      <c r="B40" s="2" t="s">
        <v>135</v>
      </c>
      <c r="C40" s="31">
        <f>Aantal_integrale_geboortezorg_prestaties_Geboortezorg_nataal</f>
        <v>0</v>
      </c>
      <c r="D40" s="32">
        <f>C40*Gecontracteerd_tarief_per_integrale_geboortezorg_prestatie_Geboortezorg_nataal/1000</f>
        <v>0</v>
      </c>
      <c r="G40" s="2" t="s">
        <v>378</v>
      </c>
      <c r="H40" s="32" t="e">
        <f>'Berekening van de verdeling'!C57/10^3</f>
        <v>#DIV/0!</v>
      </c>
      <c r="J40" s="2" t="str">
        <f>NaamZiekenhuis_3</f>
        <v>TestZkh3</v>
      </c>
      <c r="K40" s="32">
        <f>SUMIFS('Berekening van de verdeling'!AR:AR,'Berekening van de verdeling'!AH:AH,J40)/1000</f>
        <v>0</v>
      </c>
      <c r="L40" s="31">
        <f>IFERROR(SUMIFS('Invoertabblad - geleverde zorg'!$S:$S,'Invoertabblad - geleverde zorg'!$I:$I,J40),"n.v.t.")</f>
        <v>0</v>
      </c>
      <c r="N40" s="2" t="str">
        <f>NaamPraktijk_3</f>
        <v>TestPraktijk 3</v>
      </c>
      <c r="O40" s="32">
        <f>SUMIFS('Berekening van de verdeling'!AR:AR,'Berekening van de verdeling'!AH:AH,N40)/1000</f>
        <v>0</v>
      </c>
      <c r="P40" s="31">
        <f>IFERROR(SUMIFS('Invoertabblad - geleverde zorg'!$S:$S,'Invoertabblad - geleverde zorg'!$I:$I,N40),"n.v.t.")</f>
        <v>0</v>
      </c>
      <c r="R40" s="2" t="str">
        <f>NaamKraamzorgorganisatie_3</f>
        <v>TestKraamzorgorganisatie 3</v>
      </c>
      <c r="S40" s="32">
        <f>SUMIFS('Berekening van de verdeling'!AR:AR,'Berekening van de verdeling'!AH:AH,R40)/1000</f>
        <v>0</v>
      </c>
      <c r="T40" s="31">
        <f>IFERROR(SUMIFS('Invoertabblad - geleverde zorg'!$S:$S,'Invoertabblad - geleverde zorg'!$I:$I,R40),"n.v.t.")</f>
        <v>0</v>
      </c>
    </row>
    <row r="41" spans="2:20" x14ac:dyDescent="0.5">
      <c r="B41" s="2" t="s">
        <v>139</v>
      </c>
      <c r="C41" s="31">
        <f>Aantal_integrale_geboortezorg_prestaties_Geboortezorg_nataal_complex</f>
        <v>0</v>
      </c>
      <c r="D41" s="32">
        <f>C41*Gecontracteerd_tarief_per_integrale_geboortezorg_prestatie_Geboortezorg_nataal_complex/1000</f>
        <v>0</v>
      </c>
      <c r="G41" s="2" t="s">
        <v>295</v>
      </c>
      <c r="H41" s="32">
        <f>'Berekening van de verdeling'!H16/10^3</f>
        <v>0</v>
      </c>
      <c r="N41" s="2" t="str">
        <f>NaamPraktijk_4</f>
        <v>TestPraktijk 4</v>
      </c>
      <c r="O41" s="32">
        <f>SUMIFS('Berekening van de verdeling'!AR:AR,'Berekening van de verdeling'!AH:AH,N41)/1000</f>
        <v>0</v>
      </c>
      <c r="P41" s="31">
        <f>IFERROR(SUMIFS('Invoertabblad - geleverde zorg'!$S:$S,'Invoertabblad - geleverde zorg'!$I:$I,N41),"n.v.t.")</f>
        <v>0</v>
      </c>
      <c r="R41" s="2" t="str">
        <f>NaamKraamzorgorganisatie_4</f>
        <v>TestKraamzorgorganisatie 4</v>
      </c>
      <c r="S41" s="32">
        <f>SUMIFS('Berekening van de verdeling'!AR:AR,'Berekening van de verdeling'!AH:AH,R41)/1000</f>
        <v>0</v>
      </c>
      <c r="T41" s="31">
        <f>IFERROR(SUMIFS('Invoertabblad - geleverde zorg'!$S:$S,'Invoertabblad - geleverde zorg'!$I:$I,R41),"n.v.t.")</f>
        <v>0</v>
      </c>
    </row>
    <row r="42" spans="2:20" x14ac:dyDescent="0.5">
      <c r="B42" s="2" t="s">
        <v>140</v>
      </c>
      <c r="C42" s="31">
        <f>Aantal_integrale_geboortezorg_prestaties_Geboortezorg_postnataal</f>
        <v>0</v>
      </c>
      <c r="D42" s="32">
        <f>C42*Gecontracteerd_tarief_per_integrale_geboortezorg_prestatie_Geboortezorg_postnataal/1000</f>
        <v>0</v>
      </c>
      <c r="G42" s="2" t="s">
        <v>165</v>
      </c>
      <c r="H42" s="32">
        <f>Overheadkosten_van_de_IGO___zorggroep___…_Beheerskosten_IGO___zorggroep___…/10^3</f>
        <v>0</v>
      </c>
      <c r="N42" s="2" t="str">
        <f>NaamPraktijk_5</f>
        <v>TestPraktijk 5</v>
      </c>
      <c r="O42" s="32">
        <f>SUMIFS('Berekening van de verdeling'!AR:AR,'Berekening van de verdeling'!AH:AH,N42)/1000</f>
        <v>0</v>
      </c>
      <c r="P42" s="31">
        <f>IFERROR(SUMIFS('Invoertabblad - geleverde zorg'!$S:$S,'Invoertabblad - geleverde zorg'!$I:$I,N42),"n.v.t.")</f>
        <v>0</v>
      </c>
      <c r="R42" s="2" t="str">
        <f>NaamKraamzorgorganisatie_5</f>
        <v>TestKraamzorgorganisatie 5</v>
      </c>
      <c r="S42" s="32">
        <f>SUMIFS('Berekening van de verdeling'!AR:AR,'Berekening van de verdeling'!AH:AH,R42)/1000</f>
        <v>0</v>
      </c>
      <c r="T42" s="31">
        <f>IFERROR(SUMIFS('Invoertabblad - geleverde zorg'!$S:$S,'Invoertabblad - geleverde zorg'!$I:$I,R42),"n.v.t.")</f>
        <v>0</v>
      </c>
    </row>
    <row r="43" spans="2:20" x14ac:dyDescent="0.5">
      <c r="B43" s="2" t="s">
        <v>134</v>
      </c>
      <c r="C43" s="31">
        <f>Aantal_integrale_geboortezorg_prestaties_Geboortezorg_prenataal_complex</f>
        <v>0</v>
      </c>
      <c r="D43" s="32">
        <f>C43*Gecontracteerd_tarief_per_integrale_geboortezorg_prestatie_Geboortezorg_prenataal_complex/1000</f>
        <v>0</v>
      </c>
      <c r="G43" s="2" t="s">
        <v>150</v>
      </c>
      <c r="H43" s="32">
        <f>Overheadkosten_van_de_IGO___zorggroep___…_Innovatie__en_kwaliteitsprojecten/10^3</f>
        <v>0</v>
      </c>
      <c r="N43" s="2" t="str">
        <f>NaamPraktijk_6</f>
        <v>TestPraktijk 6</v>
      </c>
      <c r="O43" s="32">
        <f>SUMIFS('Berekening van de verdeling'!AR:AR,'Berekening van de verdeling'!AH:AH,N43)/1000</f>
        <v>0</v>
      </c>
      <c r="P43" s="31">
        <f>IFERROR(SUMIFS('Invoertabblad - geleverde zorg'!$S:$S,'Invoertabblad - geleverde zorg'!$I:$I,N43),"n.v.t.")</f>
        <v>0</v>
      </c>
    </row>
    <row r="44" spans="2:20" x14ac:dyDescent="0.5">
      <c r="B44" s="2" t="s">
        <v>132</v>
      </c>
      <c r="C44" s="31">
        <f>Aantal_integrale_geboortezorg_prestaties_Begeleiding_eindigend__16_wkn_zwangerschap_incl._nazorg</f>
        <v>0</v>
      </c>
      <c r="D44" s="32">
        <f>C44*Gecontracteerd_tarief_per_integrale_geboortezorg_prestatie_Begeleiding_eindigend__16_wkn_zwangerschap_incl._nazorg/1000</f>
        <v>0</v>
      </c>
      <c r="G44" s="2" t="s">
        <v>151</v>
      </c>
      <c r="H44" s="32">
        <f>Overheadkosten_van_de_IGO___zorggroep___…_Overige_kosten/10^3</f>
        <v>0</v>
      </c>
      <c r="N44" s="2" t="str">
        <f>NaamPraktijk_7</f>
        <v>TestPraktijk 7</v>
      </c>
      <c r="O44" s="32">
        <f>SUMIFS('Berekening van de verdeling'!AR:AR,'Berekening van de verdeling'!AH:AH,N44)/1000</f>
        <v>0</v>
      </c>
      <c r="P44" s="31">
        <f>IFERROR(SUMIFS('Invoertabblad - geleverde zorg'!$S:$S,'Invoertabblad - geleverde zorg'!$I:$I,N44),"n.v.t.")</f>
        <v>0</v>
      </c>
    </row>
    <row r="45" spans="2:20" x14ac:dyDescent="0.5">
      <c r="B45" s="27" t="s">
        <v>136</v>
      </c>
      <c r="C45" s="33">
        <f>Aantal_integrale_geboortezorg_prestaties_Geboortezorg_nataal_intramuraal_op_eigen_verzoek</f>
        <v>0</v>
      </c>
      <c r="D45" s="34">
        <f>C45*Gecontracteerd_tarief_per_integrale_geboortezorg_prestatie_Geboortezorg_nataal_intramuraal_op_eigen_verzoek/1000</f>
        <v>0</v>
      </c>
      <c r="N45" s="2" t="str">
        <f>NaamPraktijk_8</f>
        <v>TestPraktijk 8</v>
      </c>
      <c r="O45" s="32">
        <f>SUMIFS('Berekening van de verdeling'!AR:AR,'Berekening van de verdeling'!AH:AH,N45)/1000</f>
        <v>0</v>
      </c>
      <c r="P45" s="31">
        <f>IFERROR(SUMIFS('Invoertabblad - geleverde zorg'!$S:$S,'Invoertabblad - geleverde zorg'!$I:$I,N45),"n.v.t.")</f>
        <v>0</v>
      </c>
    </row>
    <row r="46" spans="2:20" x14ac:dyDescent="0.5">
      <c r="B46" s="2" t="s">
        <v>137</v>
      </c>
      <c r="C46" s="31">
        <f>Aantal_integrale_geboortezorg_prestaties_Geboortezorg_postnataal_complex</f>
        <v>0</v>
      </c>
      <c r="D46" s="32">
        <f>C46*Gecontracteerd_tarief_per_integrale_geboortezorg_prestatie_Geboortezorg_postnataal_complex/1000</f>
        <v>0</v>
      </c>
      <c r="N46" s="2" t="str">
        <f>NaamPraktijk_9</f>
        <v>TestPraktijk 9</v>
      </c>
      <c r="O46" s="32">
        <f>SUMIFS('Berekening van de verdeling'!AR:AR,'Berekening van de verdeling'!AH:AH,N46)/1000</f>
        <v>0</v>
      </c>
      <c r="P46" s="31">
        <f>IFERROR(SUMIFS('Invoertabblad - geleverde zorg'!$S:$S,'Invoertabblad - geleverde zorg'!$I:$I,N46),"n.v.t.")</f>
        <v>0</v>
      </c>
    </row>
    <row r="47" spans="2:20" x14ac:dyDescent="0.5">
      <c r="N47" s="2" t="str">
        <f>NaamPraktijk_10</f>
        <v>TestPraktijk 10</v>
      </c>
      <c r="O47" s="32">
        <f>SUMIFS('Berekening van de verdeling'!AR:AR,'Berekening van de verdeling'!AH:AH,N47)/1000</f>
        <v>0</v>
      </c>
      <c r="P47" s="31">
        <f>IFERROR(SUMIFS('Invoertabblad - geleverde zorg'!$S:$S,'Invoertabblad - geleverde zorg'!$I:$I,N47),"n.v.t.")</f>
        <v>0</v>
      </c>
    </row>
    <row r="48" spans="2:20" x14ac:dyDescent="0.5">
      <c r="N48" s="2" t="str">
        <f>NaamPraktijk_11</f>
        <v>TestPraktijk 11</v>
      </c>
      <c r="O48" s="32">
        <f>SUMIFS('Berekening van de verdeling'!AR:AR,'Berekening van de verdeling'!AH:AH,N48)/1000</f>
        <v>0</v>
      </c>
      <c r="P48" s="31">
        <f>IFERROR(SUMIFS('Invoertabblad - geleverde zorg'!$S:$S,'Invoertabblad - geleverde zorg'!$I:$I,N48),"n.v.t.")</f>
        <v>0</v>
      </c>
    </row>
    <row r="49" spans="2:20" x14ac:dyDescent="0.5">
      <c r="N49" s="2" t="str">
        <f>NaamPraktijk_12</f>
        <v>TestPraktijk 12</v>
      </c>
      <c r="O49" s="32">
        <f>SUMIFS('Berekening van de verdeling'!AR:AR,'Berekening van de verdeling'!AH:AH,N49)/1000</f>
        <v>0</v>
      </c>
      <c r="P49" s="31">
        <f>IFERROR(SUMIFS('Invoertabblad - geleverde zorg'!$S:$S,'Invoertabblad - geleverde zorg'!$I:$I,N49),"n.v.t.")</f>
        <v>0</v>
      </c>
    </row>
    <row r="50" spans="2:20" x14ac:dyDescent="0.5">
      <c r="N50" s="2" t="str">
        <f>NaamPraktijk_13</f>
        <v>TestPraktijk 13</v>
      </c>
      <c r="O50" s="32">
        <f>SUMIFS('Berekening van de verdeling'!AR:AR,'Berekening van de verdeling'!AH:AH,N50)/1000</f>
        <v>0</v>
      </c>
      <c r="P50" s="31">
        <f>IFERROR(SUMIFS('Invoertabblad - geleverde zorg'!$S:$S,'Invoertabblad - geleverde zorg'!$I:$I,N50),"n.v.t.")</f>
        <v>0</v>
      </c>
    </row>
    <row r="51" spans="2:20" x14ac:dyDescent="0.5">
      <c r="N51" s="2" t="str">
        <f>NaamPraktijk_14</f>
        <v>TestPraktijk 14</v>
      </c>
      <c r="O51" s="32">
        <f>SUMIFS('Berekening van de verdeling'!AR:AR,'Berekening van de verdeling'!AH:AH,N51)/1000</f>
        <v>0</v>
      </c>
      <c r="P51" s="31">
        <f>IFERROR(SUMIFS('Invoertabblad - geleverde zorg'!$S:$S,'Invoertabblad - geleverde zorg'!$I:$I,N51),"n.v.t.")</f>
        <v>0</v>
      </c>
    </row>
    <row r="52" spans="2:20" ht="17.5" thickBot="1" x14ac:dyDescent="0.55000000000000004">
      <c r="N52" s="2" t="str">
        <f>NaamPraktijk_15</f>
        <v>TestPraktijk 15</v>
      </c>
      <c r="O52" s="32">
        <f>SUMIFS('Berekening van de verdeling'!AR:AR,'Berekening van de verdeling'!AH:AH,N52)/1000</f>
        <v>0</v>
      </c>
      <c r="P52" s="31">
        <f>IFERROR(SUMIFS('Invoertabblad - geleverde zorg'!$S:$S,'Invoertabblad - geleverde zorg'!$I:$I,N52),"n.v.t.")</f>
        <v>0</v>
      </c>
    </row>
    <row r="53" spans="2:20" ht="17.5" thickBot="1" x14ac:dyDescent="0.55000000000000004">
      <c r="B53" s="28" t="s">
        <v>145</v>
      </c>
      <c r="C53" s="36">
        <f>Aantal_vrouwen_Aantal_zwangeren_met_tenminste_22_weken_zwangerschapsduur</f>
        <v>0</v>
      </c>
      <c r="D53" s="35">
        <f>SUM(D38:D46)*1000</f>
        <v>0</v>
      </c>
      <c r="G53" s="28" t="s">
        <v>145</v>
      </c>
      <c r="H53" s="35" t="e">
        <f>SUM(H38:H44)</f>
        <v>#DIV/0!</v>
      </c>
      <c r="J53" s="28" t="s">
        <v>145</v>
      </c>
      <c r="K53" s="35">
        <f>SUM(K38:K40)</f>
        <v>0</v>
      </c>
      <c r="L53" s="95">
        <f>SUM(L38:L40)</f>
        <v>0</v>
      </c>
      <c r="N53" s="28" t="s">
        <v>145</v>
      </c>
      <c r="O53" s="35">
        <f>SUM(O38:O52)</f>
        <v>0</v>
      </c>
      <c r="P53" s="95">
        <f>SUM(P38:P52)</f>
        <v>0</v>
      </c>
      <c r="R53" s="28" t="s">
        <v>145</v>
      </c>
      <c r="S53" s="35">
        <f>SUM(S38:S42)</f>
        <v>0</v>
      </c>
      <c r="T53" s="95">
        <f>SUM(T38:T42)</f>
        <v>0</v>
      </c>
    </row>
  </sheetData>
  <sheetProtection sheet="1" objects="1" scenarios="1"/>
  <hyperlinks>
    <hyperlink ref="A1" location="Modeltoelichting!A1" display="Modeltoelichting!A1" xr:uid="{8B01F065-9D87-45C9-89B1-4794D4022001}"/>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19571-1DA0-467B-B0E7-0FAFEFAC2552}">
  <sheetPr>
    <tabColor theme="9"/>
  </sheetPr>
  <dimension ref="A1:K33"/>
  <sheetViews>
    <sheetView showGridLines="0" zoomScale="80" zoomScaleNormal="80" workbookViewId="0"/>
  </sheetViews>
  <sheetFormatPr defaultRowHeight="17" x14ac:dyDescent="0.5"/>
  <cols>
    <col min="2" max="2" width="43.07421875" customWidth="1"/>
    <col min="3" max="3" width="23.23046875" bestFit="1" customWidth="1"/>
    <col min="4" max="4" width="13.4609375" bestFit="1" customWidth="1"/>
    <col min="5" max="5" width="10" customWidth="1"/>
    <col min="7" max="7" width="39.4609375" bestFit="1" customWidth="1"/>
    <col min="8" max="8" width="10" customWidth="1"/>
    <col min="10" max="10" width="28.07421875" bestFit="1" customWidth="1"/>
    <col min="11" max="11" width="10" customWidth="1"/>
  </cols>
  <sheetData>
    <row r="1" spans="1:11" ht="17.5" thickBot="1" x14ac:dyDescent="0.55000000000000004">
      <c r="A1" s="93" t="str">
        <f>HYPERLINK(Modeltoelichting!A1,"&lt;&lt;&lt;TERUG")</f>
        <v>&lt;&lt;&lt;TERUG</v>
      </c>
    </row>
    <row r="2" spans="1:11" ht="21" thickBot="1" x14ac:dyDescent="0.6">
      <c r="B2" s="3" t="s">
        <v>304</v>
      </c>
      <c r="C2" s="133" t="s">
        <v>343</v>
      </c>
      <c r="D2" s="134">
        <f>JaarModel</f>
        <v>0</v>
      </c>
    </row>
    <row r="3" spans="1:11" ht="17.5" thickBot="1" x14ac:dyDescent="0.55000000000000004">
      <c r="B3" t="s">
        <v>392</v>
      </c>
    </row>
    <row r="4" spans="1:11" ht="17.5" thickBot="1" x14ac:dyDescent="0.55000000000000004">
      <c r="B4" s="86" t="s">
        <v>379</v>
      </c>
    </row>
    <row r="6" spans="1:11" x14ac:dyDescent="0.5">
      <c r="B6" s="13" t="s">
        <v>222</v>
      </c>
      <c r="C6" s="13" t="s">
        <v>223</v>
      </c>
      <c r="D6" s="13" t="s">
        <v>131</v>
      </c>
      <c r="E6" s="13" t="s">
        <v>127</v>
      </c>
      <c r="G6" s="13" t="s">
        <v>221</v>
      </c>
      <c r="H6" s="13" t="s">
        <v>127</v>
      </c>
      <c r="J6" s="112" t="s">
        <v>7</v>
      </c>
      <c r="K6" s="112" t="s">
        <v>127</v>
      </c>
    </row>
    <row r="7" spans="1:11" x14ac:dyDescent="0.5">
      <c r="B7" s="2" t="s">
        <v>1</v>
      </c>
      <c r="C7" s="2" t="s">
        <v>229</v>
      </c>
      <c r="D7" s="2" t="s">
        <v>226</v>
      </c>
      <c r="E7" s="140"/>
      <c r="G7" s="2" t="s">
        <v>239</v>
      </c>
      <c r="H7" s="141"/>
      <c r="J7" s="90" t="s">
        <v>253</v>
      </c>
      <c r="K7" s="142"/>
    </row>
    <row r="8" spans="1:11" x14ac:dyDescent="0.5">
      <c r="B8" s="2" t="s">
        <v>1</v>
      </c>
      <c r="C8" s="2" t="s">
        <v>229</v>
      </c>
      <c r="D8" s="2" t="s">
        <v>251</v>
      </c>
      <c r="E8" s="140"/>
      <c r="G8" s="2" t="s">
        <v>247</v>
      </c>
      <c r="H8" s="141"/>
      <c r="J8" s="90" t="s">
        <v>254</v>
      </c>
      <c r="K8" s="142"/>
    </row>
    <row r="9" spans="1:11" x14ac:dyDescent="0.5">
      <c r="B9" s="2" t="s">
        <v>1</v>
      </c>
      <c r="C9" s="2" t="s">
        <v>229</v>
      </c>
      <c r="D9" s="2" t="s">
        <v>227</v>
      </c>
      <c r="E9" s="140"/>
      <c r="G9" s="2" t="s">
        <v>224</v>
      </c>
      <c r="H9" s="141"/>
      <c r="J9" s="90" t="s">
        <v>256</v>
      </c>
      <c r="K9" s="142"/>
    </row>
    <row r="10" spans="1:11" x14ac:dyDescent="0.5">
      <c r="B10" s="2" t="s">
        <v>1</v>
      </c>
      <c r="C10" s="2" t="s">
        <v>229</v>
      </c>
      <c r="D10" s="2" t="s">
        <v>228</v>
      </c>
      <c r="E10" s="140"/>
      <c r="G10" s="2" t="s">
        <v>237</v>
      </c>
      <c r="H10" s="141"/>
      <c r="J10" s="90" t="s">
        <v>258</v>
      </c>
      <c r="K10" s="142"/>
    </row>
    <row r="11" spans="1:11" x14ac:dyDescent="0.5">
      <c r="B11" s="2" t="s">
        <v>1</v>
      </c>
      <c r="C11" s="2" t="s">
        <v>229</v>
      </c>
      <c r="D11" s="2" t="s">
        <v>230</v>
      </c>
      <c r="E11" s="140"/>
      <c r="G11" s="2" t="s">
        <v>242</v>
      </c>
      <c r="H11" s="141"/>
    </row>
    <row r="12" spans="1:11" x14ac:dyDescent="0.5">
      <c r="B12" s="2" t="s">
        <v>1</v>
      </c>
      <c r="C12" s="2" t="s">
        <v>231</v>
      </c>
      <c r="D12" s="2" t="s">
        <v>226</v>
      </c>
      <c r="E12" s="140"/>
      <c r="G12" s="2" t="s">
        <v>240</v>
      </c>
      <c r="H12" s="141"/>
    </row>
    <row r="13" spans="1:11" x14ac:dyDescent="0.5">
      <c r="B13" s="2" t="s">
        <v>1</v>
      </c>
      <c r="C13" s="2" t="s">
        <v>231</v>
      </c>
      <c r="D13" s="2" t="s">
        <v>251</v>
      </c>
      <c r="E13" s="140"/>
      <c r="G13" s="2" t="s">
        <v>245</v>
      </c>
      <c r="H13" s="141"/>
    </row>
    <row r="14" spans="1:11" x14ac:dyDescent="0.5">
      <c r="B14" s="2" t="s">
        <v>1</v>
      </c>
      <c r="C14" s="2" t="s">
        <v>231</v>
      </c>
      <c r="D14" s="2" t="s">
        <v>227</v>
      </c>
      <c r="E14" s="140"/>
      <c r="G14" s="2" t="s">
        <v>241</v>
      </c>
      <c r="H14" s="141"/>
    </row>
    <row r="15" spans="1:11" x14ac:dyDescent="0.5">
      <c r="B15" s="2" t="s">
        <v>1</v>
      </c>
      <c r="C15" s="2" t="s">
        <v>231</v>
      </c>
      <c r="D15" s="2" t="s">
        <v>228</v>
      </c>
      <c r="E15" s="140"/>
      <c r="G15" s="2" t="s">
        <v>249</v>
      </c>
      <c r="H15" s="141"/>
    </row>
    <row r="16" spans="1:11" x14ac:dyDescent="0.5">
      <c r="B16" s="2" t="s">
        <v>1</v>
      </c>
      <c r="C16" s="2" t="s">
        <v>231</v>
      </c>
      <c r="D16" s="2" t="s">
        <v>230</v>
      </c>
      <c r="E16" s="140"/>
      <c r="G16" s="2" t="s">
        <v>243</v>
      </c>
      <c r="H16" s="141"/>
    </row>
    <row r="17" spans="2:8" x14ac:dyDescent="0.5">
      <c r="B17" s="2" t="s">
        <v>1</v>
      </c>
      <c r="C17" s="2" t="s">
        <v>225</v>
      </c>
      <c r="D17" s="2" t="s">
        <v>226</v>
      </c>
      <c r="E17" s="140"/>
      <c r="G17" s="2" t="s">
        <v>244</v>
      </c>
      <c r="H17" s="141"/>
    </row>
    <row r="18" spans="2:8" x14ac:dyDescent="0.5">
      <c r="B18" s="2" t="s">
        <v>1</v>
      </c>
      <c r="C18" s="2" t="s">
        <v>225</v>
      </c>
      <c r="D18" s="2" t="s">
        <v>227</v>
      </c>
      <c r="E18" s="140"/>
      <c r="G18" s="2" t="s">
        <v>235</v>
      </c>
      <c r="H18" s="141"/>
    </row>
    <row r="19" spans="2:8" x14ac:dyDescent="0.5">
      <c r="B19" s="2" t="s">
        <v>1</v>
      </c>
      <c r="C19" s="2" t="s">
        <v>225</v>
      </c>
      <c r="D19" s="2" t="s">
        <v>228</v>
      </c>
      <c r="E19" s="140"/>
      <c r="G19" s="2" t="s">
        <v>250</v>
      </c>
      <c r="H19" s="141"/>
    </row>
    <row r="20" spans="2:8" x14ac:dyDescent="0.5">
      <c r="B20" s="2" t="s">
        <v>1</v>
      </c>
      <c r="C20" s="2" t="s">
        <v>252</v>
      </c>
      <c r="D20" s="2" t="s">
        <v>226</v>
      </c>
      <c r="E20" s="140"/>
      <c r="G20" s="2" t="s">
        <v>248</v>
      </c>
      <c r="H20" s="141"/>
    </row>
    <row r="21" spans="2:8" x14ac:dyDescent="0.5">
      <c r="B21" s="2" t="s">
        <v>1</v>
      </c>
      <c r="C21" s="2" t="s">
        <v>252</v>
      </c>
      <c r="D21" s="2" t="s">
        <v>251</v>
      </c>
      <c r="E21" s="140"/>
      <c r="G21" s="2" t="s">
        <v>246</v>
      </c>
      <c r="H21" s="141"/>
    </row>
    <row r="22" spans="2:8" x14ac:dyDescent="0.5">
      <c r="B22" s="2" t="s">
        <v>1</v>
      </c>
      <c r="C22" s="2" t="s">
        <v>252</v>
      </c>
      <c r="D22" s="2" t="s">
        <v>227</v>
      </c>
      <c r="E22" s="140"/>
      <c r="G22" s="2" t="s">
        <v>233</v>
      </c>
      <c r="H22" s="141"/>
    </row>
    <row r="23" spans="2:8" x14ac:dyDescent="0.5">
      <c r="B23" s="2" t="s">
        <v>1</v>
      </c>
      <c r="C23" s="2" t="s">
        <v>252</v>
      </c>
      <c r="D23" s="2" t="s">
        <v>228</v>
      </c>
      <c r="E23" s="140"/>
      <c r="G23" s="2" t="s">
        <v>234</v>
      </c>
      <c r="H23" s="141"/>
    </row>
    <row r="24" spans="2:8" x14ac:dyDescent="0.5">
      <c r="B24" s="2" t="s">
        <v>1</v>
      </c>
      <c r="C24" s="2" t="s">
        <v>252</v>
      </c>
      <c r="D24" s="2" t="s">
        <v>230</v>
      </c>
      <c r="E24" s="140"/>
      <c r="G24" s="2" t="s">
        <v>238</v>
      </c>
      <c r="H24" s="141"/>
    </row>
    <row r="25" spans="2:8" x14ac:dyDescent="0.5">
      <c r="B25" s="2" t="s">
        <v>1</v>
      </c>
      <c r="C25" s="2" t="s">
        <v>232</v>
      </c>
      <c r="D25" s="2" t="s">
        <v>226</v>
      </c>
      <c r="E25" s="140"/>
      <c r="G25" s="2" t="s">
        <v>236</v>
      </c>
      <c r="H25" s="141"/>
    </row>
    <row r="26" spans="2:8" x14ac:dyDescent="0.5">
      <c r="B26" s="2" t="s">
        <v>1</v>
      </c>
      <c r="C26" s="2" t="s">
        <v>232</v>
      </c>
      <c r="D26" s="2" t="s">
        <v>227</v>
      </c>
      <c r="E26" s="140"/>
    </row>
    <row r="27" spans="2:8" x14ac:dyDescent="0.5">
      <c r="B27" s="2" t="s">
        <v>1</v>
      </c>
      <c r="C27" s="2" t="s">
        <v>232</v>
      </c>
      <c r="D27" s="2" t="s">
        <v>228</v>
      </c>
      <c r="E27" s="140"/>
    </row>
    <row r="28" spans="2:8" x14ac:dyDescent="0.5">
      <c r="B28" s="2" t="s">
        <v>2</v>
      </c>
      <c r="C28" s="2" t="s">
        <v>225</v>
      </c>
      <c r="D28" s="2" t="s">
        <v>226</v>
      </c>
      <c r="E28" s="140"/>
    </row>
    <row r="29" spans="2:8" x14ac:dyDescent="0.5">
      <c r="B29" s="2" t="s">
        <v>2</v>
      </c>
      <c r="C29" s="2" t="s">
        <v>225</v>
      </c>
      <c r="D29" s="2" t="s">
        <v>251</v>
      </c>
      <c r="E29" s="140"/>
    </row>
    <row r="30" spans="2:8" x14ac:dyDescent="0.5">
      <c r="B30" s="2" t="s">
        <v>2</v>
      </c>
      <c r="C30" s="2" t="s">
        <v>225</v>
      </c>
      <c r="D30" s="2" t="s">
        <v>227</v>
      </c>
      <c r="E30" s="140"/>
    </row>
    <row r="31" spans="2:8" x14ac:dyDescent="0.5">
      <c r="B31" s="2" t="s">
        <v>2</v>
      </c>
      <c r="C31" s="2" t="s">
        <v>225</v>
      </c>
      <c r="D31" s="2" t="s">
        <v>228</v>
      </c>
      <c r="E31" s="140"/>
    </row>
    <row r="32" spans="2:8" x14ac:dyDescent="0.5">
      <c r="B32" s="2" t="s">
        <v>2</v>
      </c>
      <c r="C32" s="2" t="s">
        <v>225</v>
      </c>
      <c r="D32" s="2" t="s">
        <v>230</v>
      </c>
      <c r="E32" s="140"/>
    </row>
    <row r="33" spans="2:5" x14ac:dyDescent="0.5">
      <c r="B33" s="2" t="s">
        <v>251</v>
      </c>
      <c r="C33" s="2" t="s">
        <v>225</v>
      </c>
      <c r="D33" s="2" t="s">
        <v>251</v>
      </c>
      <c r="E33" s="140"/>
    </row>
  </sheetData>
  <sheetProtection sheet="1" objects="1" scenarios="1"/>
  <hyperlinks>
    <hyperlink ref="A1" location="Modeltoelichting!A1" display="Modeltoelichting!A1" xr:uid="{CF5076A3-D900-4404-8B45-97B7886AC9BB}"/>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947E3-9D3B-4475-8184-4BF60D69A039}">
  <sheetPr codeName="Sheet1">
    <tabColor theme="9"/>
  </sheetPr>
  <dimension ref="A1:W87"/>
  <sheetViews>
    <sheetView showGridLines="0" showRowColHeaders="0" zoomScale="80" zoomScaleNormal="80" workbookViewId="0">
      <selection activeCell="E47" sqref="E47"/>
    </sheetView>
  </sheetViews>
  <sheetFormatPr defaultRowHeight="17" x14ac:dyDescent="0.5"/>
  <cols>
    <col min="2" max="2" width="81.765625" customWidth="1"/>
    <col min="3" max="3" width="11.69140625" customWidth="1"/>
    <col min="4" max="4" width="66.765625" hidden="1" customWidth="1"/>
    <col min="5" max="5" width="22.69140625" style="4" bestFit="1" customWidth="1"/>
    <col min="6" max="6" width="70.84375" style="4" bestFit="1" customWidth="1"/>
    <col min="7" max="7" width="51.3046875" customWidth="1"/>
    <col min="9" max="9" width="28.07421875" bestFit="1" customWidth="1"/>
    <col min="10" max="18" width="15.3046875" customWidth="1"/>
    <col min="19" max="19" width="15.3046875" style="4" customWidth="1"/>
    <col min="20" max="20" width="15.84375" customWidth="1"/>
    <col min="33" max="35" width="8.84375" customWidth="1"/>
  </cols>
  <sheetData>
    <row r="1" spans="1:23" ht="17.5" thickBot="1" x14ac:dyDescent="0.55000000000000004">
      <c r="A1" s="93" t="str">
        <f>HYPERLINK(Modeltoelichting!A1,"&lt;&lt;&lt;TERUG")</f>
        <v>&lt;&lt;&lt;TERUG</v>
      </c>
    </row>
    <row r="2" spans="1:23" ht="17.5" thickBot="1" x14ac:dyDescent="0.55000000000000004">
      <c r="A2" s="93"/>
      <c r="B2" s="133" t="s">
        <v>343</v>
      </c>
      <c r="C2" s="134">
        <f>JaarModel</f>
        <v>0</v>
      </c>
    </row>
    <row r="3" spans="1:23" x14ac:dyDescent="0.5">
      <c r="A3" s="93"/>
    </row>
    <row r="4" spans="1:23" ht="20.5" x14ac:dyDescent="0.55000000000000004">
      <c r="B4" s="3" t="s">
        <v>306</v>
      </c>
      <c r="C4" s="3"/>
      <c r="D4" s="3"/>
    </row>
    <row r="5" spans="1:23" ht="21" thickBot="1" x14ac:dyDescent="0.6">
      <c r="B5" s="15" t="s">
        <v>367</v>
      </c>
      <c r="C5" s="15"/>
      <c r="D5" s="15"/>
      <c r="E5" s="16"/>
      <c r="F5" s="16"/>
      <c r="G5" s="16"/>
      <c r="I5" s="15" t="s">
        <v>292</v>
      </c>
      <c r="J5" s="15"/>
      <c r="K5" s="15"/>
      <c r="L5" s="16"/>
      <c r="M5" s="16"/>
      <c r="N5" s="16"/>
      <c r="O5" s="16"/>
      <c r="P5" s="16"/>
      <c r="Q5" s="16"/>
      <c r="R5" s="16"/>
      <c r="S5" s="16"/>
    </row>
    <row r="6" spans="1:23" ht="17.5" thickBot="1" x14ac:dyDescent="0.55000000000000004">
      <c r="B6" s="86" t="s">
        <v>379</v>
      </c>
      <c r="I6" t="s">
        <v>289</v>
      </c>
      <c r="J6" s="26"/>
      <c r="K6" s="26"/>
      <c r="L6" s="26"/>
      <c r="M6" s="26"/>
      <c r="N6" s="26"/>
      <c r="O6" s="26"/>
      <c r="P6" s="26"/>
      <c r="Q6" s="26"/>
      <c r="R6" s="26"/>
    </row>
    <row r="7" spans="1:23" ht="85" x14ac:dyDescent="0.5">
      <c r="C7" s="1" t="s">
        <v>126</v>
      </c>
      <c r="F7" s="8" t="s">
        <v>166</v>
      </c>
      <c r="I7" s="56" t="s">
        <v>130</v>
      </c>
      <c r="J7" s="46" t="s">
        <v>141</v>
      </c>
      <c r="K7" s="46" t="s">
        <v>133</v>
      </c>
      <c r="L7" s="46" t="s">
        <v>134</v>
      </c>
      <c r="M7" s="46" t="s">
        <v>135</v>
      </c>
      <c r="N7" s="46" t="s">
        <v>136</v>
      </c>
      <c r="O7" s="46" t="s">
        <v>139</v>
      </c>
      <c r="P7" s="46" t="s">
        <v>140</v>
      </c>
      <c r="Q7" s="46" t="s">
        <v>137</v>
      </c>
      <c r="R7" s="46" t="s">
        <v>138</v>
      </c>
      <c r="S7" s="46" t="s">
        <v>270</v>
      </c>
    </row>
    <row r="8" spans="1:23" x14ac:dyDescent="0.5">
      <c r="B8" s="2" t="s">
        <v>312</v>
      </c>
      <c r="C8" s="2" t="s">
        <v>317</v>
      </c>
      <c r="D8" s="2" t="s">
        <v>313</v>
      </c>
      <c r="E8" s="146"/>
      <c r="F8" s="131"/>
      <c r="G8" s="153"/>
      <c r="I8" s="2" t="str">
        <f>NaamZiekenhuis_1</f>
        <v>TestZkh1</v>
      </c>
      <c r="J8" s="143"/>
      <c r="K8" s="143"/>
      <c r="L8" s="143"/>
      <c r="M8" s="143"/>
      <c r="N8" s="143"/>
      <c r="O8" s="143"/>
      <c r="P8" s="143"/>
      <c r="Q8" s="143"/>
      <c r="R8" s="143"/>
      <c r="S8" s="31">
        <f>SUM(J8:R8)</f>
        <v>0</v>
      </c>
    </row>
    <row r="9" spans="1:23" x14ac:dyDescent="0.5">
      <c r="E9"/>
      <c r="G9" s="154"/>
      <c r="I9" s="2" t="str">
        <f>NaamZiekenhuis_2</f>
        <v>TestZkh2</v>
      </c>
      <c r="J9" s="143"/>
      <c r="K9" s="143"/>
      <c r="L9" s="143"/>
      <c r="M9" s="143"/>
      <c r="N9" s="143"/>
      <c r="O9" s="143"/>
      <c r="P9" s="143"/>
      <c r="Q9" s="143"/>
      <c r="R9" s="143"/>
      <c r="S9" s="31">
        <f t="shared" ref="S9:S10" si="0">SUM(J9:R9)</f>
        <v>0</v>
      </c>
    </row>
    <row r="10" spans="1:23" x14ac:dyDescent="0.5">
      <c r="B10" s="1" t="s">
        <v>314</v>
      </c>
      <c r="C10" s="1" t="s">
        <v>126</v>
      </c>
      <c r="D10" s="1"/>
      <c r="E10" s="1"/>
      <c r="F10" s="8" t="s">
        <v>166</v>
      </c>
      <c r="G10" s="154"/>
      <c r="I10" s="2" t="str">
        <f>NaamZiekenhuis_3</f>
        <v>TestZkh3</v>
      </c>
      <c r="J10" s="143"/>
      <c r="K10" s="143"/>
      <c r="L10" s="143"/>
      <c r="M10" s="143"/>
      <c r="N10" s="143"/>
      <c r="O10" s="143"/>
      <c r="P10" s="143"/>
      <c r="Q10" s="143"/>
      <c r="R10" s="143"/>
      <c r="S10" s="31">
        <f t="shared" si="0"/>
        <v>0</v>
      </c>
    </row>
    <row r="11" spans="1:23" x14ac:dyDescent="0.5">
      <c r="B11" s="2" t="s">
        <v>169</v>
      </c>
      <c r="C11" s="2" t="s">
        <v>318</v>
      </c>
      <c r="D11" s="2" t="s">
        <v>339</v>
      </c>
      <c r="E11" s="141" t="s">
        <v>309</v>
      </c>
      <c r="F11" s="131"/>
      <c r="G11" s="153"/>
      <c r="S11" s="94"/>
    </row>
    <row r="12" spans="1:23" x14ac:dyDescent="0.5">
      <c r="B12" s="2" t="s">
        <v>170</v>
      </c>
      <c r="C12" s="2" t="s">
        <v>318</v>
      </c>
      <c r="D12" s="2" t="s">
        <v>340</v>
      </c>
      <c r="E12" s="141" t="s">
        <v>310</v>
      </c>
      <c r="F12" s="131"/>
      <c r="G12" s="153"/>
      <c r="I12" s="1" t="s">
        <v>291</v>
      </c>
      <c r="S12" s="94"/>
    </row>
    <row r="13" spans="1:23" x14ac:dyDescent="0.5">
      <c r="B13" s="2" t="s">
        <v>171</v>
      </c>
      <c r="C13" s="2" t="s">
        <v>318</v>
      </c>
      <c r="D13" s="2" t="s">
        <v>341</v>
      </c>
      <c r="E13" s="141" t="s">
        <v>311</v>
      </c>
      <c r="F13" s="131"/>
      <c r="G13" s="153"/>
      <c r="I13" s="2" t="str">
        <f>NaamPraktijk_1</f>
        <v>TestPraktijk 1</v>
      </c>
      <c r="J13" s="143"/>
      <c r="K13" s="143"/>
      <c r="L13" s="143"/>
      <c r="M13" s="143"/>
      <c r="N13" s="143"/>
      <c r="O13" s="143"/>
      <c r="P13" s="143"/>
      <c r="Q13" s="143"/>
      <c r="R13" s="143"/>
      <c r="S13" s="31">
        <f t="shared" ref="S13:S27" si="1">SUM(J13:R13)</f>
        <v>0</v>
      </c>
      <c r="T13" s="26"/>
    </row>
    <row r="14" spans="1:23" x14ac:dyDescent="0.5">
      <c r="E14" s="132"/>
      <c r="G14" s="154"/>
      <c r="I14" s="2" t="str">
        <f>NaamPraktijk_2</f>
        <v>TestPraktijk 2</v>
      </c>
      <c r="J14" s="143"/>
      <c r="K14" s="143"/>
      <c r="L14" s="143"/>
      <c r="M14" s="143"/>
      <c r="N14" s="143"/>
      <c r="O14" s="143"/>
      <c r="P14" s="143"/>
      <c r="Q14" s="143"/>
      <c r="R14" s="143"/>
      <c r="S14" s="31">
        <f t="shared" si="1"/>
        <v>0</v>
      </c>
      <c r="T14" s="26"/>
    </row>
    <row r="15" spans="1:23" x14ac:dyDescent="0.5">
      <c r="B15" s="1" t="s">
        <v>315</v>
      </c>
      <c r="C15" s="1" t="s">
        <v>126</v>
      </c>
      <c r="E15" s="132"/>
      <c r="F15" s="8" t="s">
        <v>166</v>
      </c>
      <c r="G15" s="154"/>
      <c r="I15" s="2" t="str">
        <f>NaamPraktijk_3</f>
        <v>TestPraktijk 3</v>
      </c>
      <c r="J15" s="143"/>
      <c r="K15" s="143"/>
      <c r="L15" s="143"/>
      <c r="M15" s="143"/>
      <c r="N15" s="143"/>
      <c r="O15" s="143"/>
      <c r="P15" s="143"/>
      <c r="Q15" s="143"/>
      <c r="R15" s="143"/>
      <c r="S15" s="31">
        <f t="shared" si="1"/>
        <v>0</v>
      </c>
      <c r="T15" s="26"/>
    </row>
    <row r="16" spans="1:23" x14ac:dyDescent="0.5">
      <c r="B16" s="2" t="s">
        <v>180</v>
      </c>
      <c r="C16" s="2" t="s">
        <v>318</v>
      </c>
      <c r="D16" s="2" t="s">
        <v>319</v>
      </c>
      <c r="E16" s="141" t="s">
        <v>347</v>
      </c>
      <c r="F16" s="131"/>
      <c r="G16" s="153"/>
      <c r="H16" s="7"/>
      <c r="I16" s="2" t="str">
        <f>NaamPraktijk_4</f>
        <v>TestPraktijk 4</v>
      </c>
      <c r="J16" s="143"/>
      <c r="K16" s="143"/>
      <c r="L16" s="143"/>
      <c r="M16" s="143"/>
      <c r="N16" s="143"/>
      <c r="O16" s="143"/>
      <c r="P16" s="143"/>
      <c r="Q16" s="143"/>
      <c r="R16" s="143"/>
      <c r="S16" s="31">
        <f t="shared" si="1"/>
        <v>0</v>
      </c>
      <c r="T16" s="7"/>
      <c r="U16" s="7"/>
      <c r="V16" s="7"/>
      <c r="W16" s="7"/>
    </row>
    <row r="17" spans="2:19" x14ac:dyDescent="0.5">
      <c r="B17" s="2" t="s">
        <v>181</v>
      </c>
      <c r="C17" s="2" t="s">
        <v>318</v>
      </c>
      <c r="D17" s="2" t="s">
        <v>320</v>
      </c>
      <c r="E17" s="141" t="s">
        <v>348</v>
      </c>
      <c r="F17" s="131"/>
      <c r="G17" s="153"/>
      <c r="I17" s="2" t="str">
        <f>NaamPraktijk_5</f>
        <v>TestPraktijk 5</v>
      </c>
      <c r="J17" s="143"/>
      <c r="K17" s="143"/>
      <c r="L17" s="143"/>
      <c r="M17" s="143"/>
      <c r="N17" s="143"/>
      <c r="O17" s="143"/>
      <c r="P17" s="143"/>
      <c r="Q17" s="143"/>
      <c r="R17" s="143"/>
      <c r="S17" s="31">
        <f t="shared" si="1"/>
        <v>0</v>
      </c>
    </row>
    <row r="18" spans="2:19" x14ac:dyDescent="0.5">
      <c r="B18" s="2" t="s">
        <v>182</v>
      </c>
      <c r="C18" s="2" t="s">
        <v>318</v>
      </c>
      <c r="D18" s="2" t="s">
        <v>321</v>
      </c>
      <c r="E18" s="141" t="s">
        <v>349</v>
      </c>
      <c r="F18" s="131"/>
      <c r="G18" s="153"/>
      <c r="I18" s="2" t="str">
        <f>NaamPraktijk_6</f>
        <v>TestPraktijk 6</v>
      </c>
      <c r="J18" s="143"/>
      <c r="K18" s="143"/>
      <c r="L18" s="143"/>
      <c r="M18" s="143"/>
      <c r="N18" s="143"/>
      <c r="O18" s="143"/>
      <c r="P18" s="143"/>
      <c r="Q18" s="143"/>
      <c r="R18" s="143"/>
      <c r="S18" s="31">
        <f t="shared" si="1"/>
        <v>0</v>
      </c>
    </row>
    <row r="19" spans="2:19" x14ac:dyDescent="0.5">
      <c r="B19" s="2" t="s">
        <v>183</v>
      </c>
      <c r="C19" s="2" t="s">
        <v>318</v>
      </c>
      <c r="D19" s="2" t="s">
        <v>322</v>
      </c>
      <c r="E19" s="141" t="s">
        <v>350</v>
      </c>
      <c r="F19" s="131"/>
      <c r="G19" s="153"/>
      <c r="I19" s="2" t="str">
        <f>NaamPraktijk_7</f>
        <v>TestPraktijk 7</v>
      </c>
      <c r="J19" s="143"/>
      <c r="K19" s="143"/>
      <c r="L19" s="143"/>
      <c r="M19" s="143"/>
      <c r="N19" s="143"/>
      <c r="O19" s="143"/>
      <c r="P19" s="143"/>
      <c r="Q19" s="143"/>
      <c r="R19" s="143"/>
      <c r="S19" s="31">
        <f t="shared" si="1"/>
        <v>0</v>
      </c>
    </row>
    <row r="20" spans="2:19" x14ac:dyDescent="0.5">
      <c r="B20" s="2" t="s">
        <v>184</v>
      </c>
      <c r="C20" s="2" t="s">
        <v>318</v>
      </c>
      <c r="D20" s="2" t="s">
        <v>323</v>
      </c>
      <c r="E20" s="141" t="s">
        <v>351</v>
      </c>
      <c r="F20" s="131"/>
      <c r="G20" s="153"/>
      <c r="I20" s="2" t="str">
        <f>NaamPraktijk_8</f>
        <v>TestPraktijk 8</v>
      </c>
      <c r="J20" s="143"/>
      <c r="K20" s="143"/>
      <c r="L20" s="143"/>
      <c r="M20" s="143"/>
      <c r="N20" s="143"/>
      <c r="O20" s="143"/>
      <c r="P20" s="143"/>
      <c r="Q20" s="143"/>
      <c r="R20" s="143"/>
      <c r="S20" s="31">
        <f t="shared" si="1"/>
        <v>0</v>
      </c>
    </row>
    <row r="21" spans="2:19" x14ac:dyDescent="0.5">
      <c r="B21" s="2" t="s">
        <v>185</v>
      </c>
      <c r="C21" s="2" t="s">
        <v>318</v>
      </c>
      <c r="D21" s="2" t="s">
        <v>324</v>
      </c>
      <c r="E21" s="141" t="s">
        <v>352</v>
      </c>
      <c r="F21" s="131"/>
      <c r="G21" s="153"/>
      <c r="I21" s="2" t="str">
        <f>NaamPraktijk_9</f>
        <v>TestPraktijk 9</v>
      </c>
      <c r="J21" s="143"/>
      <c r="K21" s="143"/>
      <c r="L21" s="143"/>
      <c r="M21" s="143"/>
      <c r="N21" s="143"/>
      <c r="O21" s="143"/>
      <c r="P21" s="143"/>
      <c r="Q21" s="143"/>
      <c r="R21" s="143"/>
      <c r="S21" s="31">
        <f t="shared" si="1"/>
        <v>0</v>
      </c>
    </row>
    <row r="22" spans="2:19" x14ac:dyDescent="0.5">
      <c r="B22" s="2" t="s">
        <v>186</v>
      </c>
      <c r="C22" s="2" t="s">
        <v>318</v>
      </c>
      <c r="D22" s="2" t="s">
        <v>325</v>
      </c>
      <c r="E22" s="141" t="s">
        <v>353</v>
      </c>
      <c r="F22" s="131"/>
      <c r="G22" s="153"/>
      <c r="I22" s="2" t="str">
        <f>NaamPraktijk_10</f>
        <v>TestPraktijk 10</v>
      </c>
      <c r="J22" s="143"/>
      <c r="K22" s="143"/>
      <c r="L22" s="143"/>
      <c r="M22" s="143"/>
      <c r="N22" s="143"/>
      <c r="O22" s="143"/>
      <c r="P22" s="143"/>
      <c r="Q22" s="143"/>
      <c r="R22" s="143"/>
      <c r="S22" s="31">
        <f t="shared" si="1"/>
        <v>0</v>
      </c>
    </row>
    <row r="23" spans="2:19" x14ac:dyDescent="0.5">
      <c r="B23" s="2" t="s">
        <v>187</v>
      </c>
      <c r="C23" s="2" t="s">
        <v>318</v>
      </c>
      <c r="D23" s="2" t="s">
        <v>326</v>
      </c>
      <c r="E23" s="141" t="s">
        <v>354</v>
      </c>
      <c r="F23" s="131"/>
      <c r="G23" s="153"/>
      <c r="I23" s="2" t="str">
        <f>NaamPraktijk_11</f>
        <v>TestPraktijk 11</v>
      </c>
      <c r="J23" s="143"/>
      <c r="K23" s="143"/>
      <c r="L23" s="143"/>
      <c r="M23" s="143"/>
      <c r="N23" s="143"/>
      <c r="O23" s="143"/>
      <c r="P23" s="143"/>
      <c r="Q23" s="143"/>
      <c r="R23" s="143"/>
      <c r="S23" s="31">
        <f t="shared" si="1"/>
        <v>0</v>
      </c>
    </row>
    <row r="24" spans="2:19" x14ac:dyDescent="0.5">
      <c r="B24" s="2" t="s">
        <v>188</v>
      </c>
      <c r="C24" s="2" t="s">
        <v>318</v>
      </c>
      <c r="D24" s="2" t="s">
        <v>327</v>
      </c>
      <c r="E24" s="141" t="s">
        <v>355</v>
      </c>
      <c r="F24" s="131"/>
      <c r="G24" s="153"/>
      <c r="I24" s="2" t="str">
        <f>NaamPraktijk_12</f>
        <v>TestPraktijk 12</v>
      </c>
      <c r="J24" s="143"/>
      <c r="K24" s="143"/>
      <c r="L24" s="143"/>
      <c r="M24" s="143"/>
      <c r="N24" s="143"/>
      <c r="O24" s="143"/>
      <c r="P24" s="143"/>
      <c r="Q24" s="143"/>
      <c r="R24" s="143"/>
      <c r="S24" s="31">
        <f t="shared" si="1"/>
        <v>0</v>
      </c>
    </row>
    <row r="25" spans="2:19" x14ac:dyDescent="0.5">
      <c r="B25" s="2" t="s">
        <v>189</v>
      </c>
      <c r="C25" s="2" t="s">
        <v>318</v>
      </c>
      <c r="D25" s="2" t="s">
        <v>328</v>
      </c>
      <c r="E25" s="141" t="s">
        <v>356</v>
      </c>
      <c r="F25" s="131"/>
      <c r="G25" s="153"/>
      <c r="I25" s="2" t="str">
        <f>NaamPraktijk_13</f>
        <v>TestPraktijk 13</v>
      </c>
      <c r="J25" s="143"/>
      <c r="K25" s="143"/>
      <c r="L25" s="143"/>
      <c r="M25" s="143"/>
      <c r="N25" s="143"/>
      <c r="O25" s="143"/>
      <c r="P25" s="143"/>
      <c r="Q25" s="143"/>
      <c r="R25" s="143"/>
      <c r="S25" s="31">
        <f t="shared" si="1"/>
        <v>0</v>
      </c>
    </row>
    <row r="26" spans="2:19" x14ac:dyDescent="0.5">
      <c r="B26" s="2" t="s">
        <v>190</v>
      </c>
      <c r="C26" s="2" t="s">
        <v>318</v>
      </c>
      <c r="D26" s="2" t="s">
        <v>329</v>
      </c>
      <c r="E26" s="141" t="s">
        <v>357</v>
      </c>
      <c r="F26" s="131"/>
      <c r="G26" s="153"/>
      <c r="I26" s="2" t="str">
        <f>NaamPraktijk_14</f>
        <v>TestPraktijk 14</v>
      </c>
      <c r="J26" s="143"/>
      <c r="K26" s="143"/>
      <c r="L26" s="143"/>
      <c r="M26" s="143"/>
      <c r="N26" s="143"/>
      <c r="O26" s="143"/>
      <c r="P26" s="143"/>
      <c r="Q26" s="143"/>
      <c r="R26" s="143"/>
      <c r="S26" s="31">
        <f t="shared" si="1"/>
        <v>0</v>
      </c>
    </row>
    <row r="27" spans="2:19" x14ac:dyDescent="0.5">
      <c r="B27" s="2" t="s">
        <v>191</v>
      </c>
      <c r="C27" s="2" t="s">
        <v>318</v>
      </c>
      <c r="D27" s="2" t="s">
        <v>330</v>
      </c>
      <c r="E27" s="141" t="s">
        <v>358</v>
      </c>
      <c r="F27" s="131"/>
      <c r="G27" s="153"/>
      <c r="I27" s="2" t="str">
        <f>NaamPraktijk_15</f>
        <v>TestPraktijk 15</v>
      </c>
      <c r="J27" s="143"/>
      <c r="K27" s="143"/>
      <c r="L27" s="143"/>
      <c r="M27" s="143"/>
      <c r="N27" s="143"/>
      <c r="O27" s="143"/>
      <c r="P27" s="143"/>
      <c r="Q27" s="143"/>
      <c r="R27" s="143"/>
      <c r="S27" s="31">
        <f t="shared" si="1"/>
        <v>0</v>
      </c>
    </row>
    <row r="28" spans="2:19" x14ac:dyDescent="0.5">
      <c r="B28" s="2" t="s">
        <v>192</v>
      </c>
      <c r="C28" s="2" t="s">
        <v>318</v>
      </c>
      <c r="D28" s="2" t="s">
        <v>331</v>
      </c>
      <c r="E28" s="141" t="s">
        <v>359</v>
      </c>
      <c r="F28" s="131"/>
      <c r="G28" s="153"/>
      <c r="S28" s="94"/>
    </row>
    <row r="29" spans="2:19" x14ac:dyDescent="0.5">
      <c r="B29" s="2" t="s">
        <v>193</v>
      </c>
      <c r="C29" s="2" t="s">
        <v>318</v>
      </c>
      <c r="D29" s="2" t="s">
        <v>332</v>
      </c>
      <c r="E29" s="141" t="s">
        <v>360</v>
      </c>
      <c r="F29" s="131"/>
      <c r="G29" s="153"/>
      <c r="I29" s="1" t="s">
        <v>196</v>
      </c>
      <c r="S29" s="94"/>
    </row>
    <row r="30" spans="2:19" x14ac:dyDescent="0.5">
      <c r="B30" s="2" t="s">
        <v>194</v>
      </c>
      <c r="C30" s="2" t="s">
        <v>318</v>
      </c>
      <c r="D30" s="2" t="s">
        <v>333</v>
      </c>
      <c r="E30" s="141" t="s">
        <v>361</v>
      </c>
      <c r="F30" s="131"/>
      <c r="G30" s="153"/>
      <c r="I30" s="2" t="str">
        <f>NaamKraamzorgorganisatie_1</f>
        <v>TestKraamzorgorganisatie 1</v>
      </c>
      <c r="J30" s="143"/>
      <c r="K30" s="143"/>
      <c r="L30" s="143"/>
      <c r="M30" s="143"/>
      <c r="N30" s="143"/>
      <c r="O30" s="143"/>
      <c r="P30" s="143"/>
      <c r="Q30" s="143"/>
      <c r="R30" s="143"/>
      <c r="S30" s="31">
        <f>SUM(J30:R30)</f>
        <v>0</v>
      </c>
    </row>
    <row r="31" spans="2:19" x14ac:dyDescent="0.5">
      <c r="E31" s="132"/>
      <c r="G31" s="154"/>
      <c r="I31" s="2" t="str">
        <f>NaamKraamzorgorganisatie_2</f>
        <v>TestKraamzorgorganisatie 2</v>
      </c>
      <c r="J31" s="143"/>
      <c r="K31" s="143"/>
      <c r="L31" s="143"/>
      <c r="M31" s="143"/>
      <c r="N31" s="143"/>
      <c r="O31" s="143"/>
      <c r="P31" s="143"/>
      <c r="Q31" s="143"/>
      <c r="R31" s="143"/>
      <c r="S31" s="31">
        <f t="shared" ref="S31:S34" si="2">SUM(J31:R31)</f>
        <v>0</v>
      </c>
    </row>
    <row r="32" spans="2:19" x14ac:dyDescent="0.5">
      <c r="B32" s="1" t="s">
        <v>316</v>
      </c>
      <c r="C32" s="1" t="s">
        <v>126</v>
      </c>
      <c r="E32" s="132"/>
      <c r="F32" s="8" t="s">
        <v>166</v>
      </c>
      <c r="G32" s="154"/>
      <c r="I32" s="2" t="str">
        <f>NaamKraamzorgorganisatie_3</f>
        <v>TestKraamzorgorganisatie 3</v>
      </c>
      <c r="J32" s="143"/>
      <c r="K32" s="143"/>
      <c r="L32" s="143"/>
      <c r="M32" s="143"/>
      <c r="N32" s="143"/>
      <c r="O32" s="143"/>
      <c r="P32" s="143"/>
      <c r="Q32" s="143"/>
      <c r="R32" s="143"/>
      <c r="S32" s="31">
        <f t="shared" si="2"/>
        <v>0</v>
      </c>
    </row>
    <row r="33" spans="2:19" x14ac:dyDescent="0.5">
      <c r="B33" s="2" t="s">
        <v>175</v>
      </c>
      <c r="C33" s="2" t="s">
        <v>318</v>
      </c>
      <c r="D33" s="2" t="s">
        <v>334</v>
      </c>
      <c r="E33" s="141" t="s">
        <v>362</v>
      </c>
      <c r="F33" s="131"/>
      <c r="G33" s="153"/>
      <c r="I33" s="2" t="str">
        <f>NaamKraamzorgorganisatie_4</f>
        <v>TestKraamzorgorganisatie 4</v>
      </c>
      <c r="J33" s="143"/>
      <c r="K33" s="143"/>
      <c r="L33" s="143"/>
      <c r="M33" s="143"/>
      <c r="N33" s="143"/>
      <c r="O33" s="143"/>
      <c r="P33" s="143"/>
      <c r="Q33" s="143"/>
      <c r="R33" s="143"/>
      <c r="S33" s="31">
        <f t="shared" si="2"/>
        <v>0</v>
      </c>
    </row>
    <row r="34" spans="2:19" x14ac:dyDescent="0.5">
      <c r="B34" s="2" t="s">
        <v>176</v>
      </c>
      <c r="C34" s="2" t="s">
        <v>318</v>
      </c>
      <c r="D34" s="2" t="s">
        <v>335</v>
      </c>
      <c r="E34" s="141" t="s">
        <v>363</v>
      </c>
      <c r="F34" s="131"/>
      <c r="G34" s="153"/>
      <c r="I34" s="2" t="str">
        <f>NaamKraamzorgorganisatie_5</f>
        <v>TestKraamzorgorganisatie 5</v>
      </c>
      <c r="J34" s="143"/>
      <c r="K34" s="143"/>
      <c r="L34" s="143"/>
      <c r="M34" s="143"/>
      <c r="N34" s="143"/>
      <c r="O34" s="143"/>
      <c r="P34" s="143"/>
      <c r="Q34" s="143"/>
      <c r="R34" s="143"/>
      <c r="S34" s="31">
        <f t="shared" si="2"/>
        <v>0</v>
      </c>
    </row>
    <row r="35" spans="2:19" x14ac:dyDescent="0.5">
      <c r="B35" s="2" t="s">
        <v>177</v>
      </c>
      <c r="C35" s="2" t="s">
        <v>318</v>
      </c>
      <c r="D35" s="2" t="s">
        <v>336</v>
      </c>
      <c r="E35" s="141" t="s">
        <v>364</v>
      </c>
      <c r="F35" s="131"/>
      <c r="G35" s="153"/>
    </row>
    <row r="36" spans="2:19" x14ac:dyDescent="0.5">
      <c r="B36" s="2" t="s">
        <v>178</v>
      </c>
      <c r="C36" s="2" t="s">
        <v>318</v>
      </c>
      <c r="D36" s="2" t="s">
        <v>337</v>
      </c>
      <c r="E36" s="141" t="s">
        <v>365</v>
      </c>
      <c r="F36" s="131"/>
      <c r="G36" s="153"/>
      <c r="S36" s="94"/>
    </row>
    <row r="37" spans="2:19" x14ac:dyDescent="0.5">
      <c r="B37" s="2" t="s">
        <v>179</v>
      </c>
      <c r="C37" s="2" t="s">
        <v>318</v>
      </c>
      <c r="D37" s="2" t="s">
        <v>338</v>
      </c>
      <c r="E37" s="141" t="s">
        <v>366</v>
      </c>
      <c r="F37" s="131"/>
      <c r="G37" s="153"/>
    </row>
    <row r="38" spans="2:19" x14ac:dyDescent="0.5">
      <c r="G38" s="154"/>
    </row>
    <row r="39" spans="2:19" x14ac:dyDescent="0.5">
      <c r="B39" s="1" t="s">
        <v>0</v>
      </c>
      <c r="C39" s="1" t="s">
        <v>126</v>
      </c>
      <c r="D39" s="1" t="s">
        <v>147</v>
      </c>
      <c r="F39" s="8" t="s">
        <v>166</v>
      </c>
      <c r="G39" s="155" t="s">
        <v>4</v>
      </c>
    </row>
    <row r="40" spans="2:19" x14ac:dyDescent="0.5">
      <c r="B40" s="2" t="s">
        <v>5</v>
      </c>
      <c r="C40" s="2" t="s">
        <v>127</v>
      </c>
      <c r="D40" s="2" t="str">
        <f>$B$39&amp;"_"&amp;B40</f>
        <v>Aantal vrouwen_Aantal zwangeren met tenminste 22 weken zwangerschapsduur</v>
      </c>
      <c r="E40" s="143"/>
      <c r="F40" s="52"/>
      <c r="G40" s="153" t="s">
        <v>6</v>
      </c>
    </row>
    <row r="41" spans="2:19" x14ac:dyDescent="0.5">
      <c r="G41" s="154"/>
    </row>
    <row r="42" spans="2:19" x14ac:dyDescent="0.5">
      <c r="B42" s="1" t="s">
        <v>269</v>
      </c>
      <c r="C42" s="1" t="s">
        <v>126</v>
      </c>
      <c r="D42" s="1" t="s">
        <v>147</v>
      </c>
      <c r="F42" s="8" t="s">
        <v>166</v>
      </c>
      <c r="G42" s="155" t="s">
        <v>4</v>
      </c>
    </row>
    <row r="43" spans="2:19" x14ac:dyDescent="0.5">
      <c r="B43" s="17" t="s">
        <v>141</v>
      </c>
      <c r="C43" s="2" t="s">
        <v>127</v>
      </c>
      <c r="D43" s="17" t="str">
        <f t="shared" ref="D43:D51" si="3">$B$42&amp;"_"&amp;B43</f>
        <v>Aantal integrale geboortezorg prestaties_Begeleiding eindigend &lt;16 wkn zwangerschap incl. nazorg</v>
      </c>
      <c r="E43" s="143"/>
      <c r="F43" s="52" t="s">
        <v>268</v>
      </c>
      <c r="G43" s="153"/>
    </row>
    <row r="44" spans="2:19" x14ac:dyDescent="0.5">
      <c r="B44" s="2" t="s">
        <v>133</v>
      </c>
      <c r="C44" s="2" t="s">
        <v>127</v>
      </c>
      <c r="D44" s="17" t="str">
        <f t="shared" si="3"/>
        <v>Aantal integrale geboortezorg prestaties_Geboortezorg prenataal</v>
      </c>
      <c r="E44" s="143"/>
      <c r="F44" s="52" t="s">
        <v>268</v>
      </c>
      <c r="G44" s="153"/>
    </row>
    <row r="45" spans="2:19" x14ac:dyDescent="0.5">
      <c r="B45" s="2" t="s">
        <v>134</v>
      </c>
      <c r="C45" s="2" t="s">
        <v>127</v>
      </c>
      <c r="D45" s="17" t="str">
        <f t="shared" si="3"/>
        <v>Aantal integrale geboortezorg prestaties_Geboortezorg prenataal complex</v>
      </c>
      <c r="E45" s="143"/>
      <c r="F45" s="52" t="s">
        <v>268</v>
      </c>
      <c r="G45" s="153"/>
    </row>
    <row r="46" spans="2:19" x14ac:dyDescent="0.5">
      <c r="B46" s="2" t="s">
        <v>135</v>
      </c>
      <c r="C46" s="2" t="s">
        <v>127</v>
      </c>
      <c r="D46" s="17" t="str">
        <f t="shared" si="3"/>
        <v>Aantal integrale geboortezorg prestaties_Geboortezorg nataal</v>
      </c>
      <c r="E46" s="143"/>
      <c r="F46" s="52" t="s">
        <v>268</v>
      </c>
      <c r="G46" s="153"/>
    </row>
    <row r="47" spans="2:19" x14ac:dyDescent="0.5">
      <c r="B47" s="2" t="s">
        <v>136</v>
      </c>
      <c r="C47" s="2" t="s">
        <v>127</v>
      </c>
      <c r="D47" s="17" t="str">
        <f t="shared" si="3"/>
        <v>Aantal integrale geboortezorg prestaties_Geboortezorg nataal intramuraal op eigen verzoek</v>
      </c>
      <c r="E47" s="143"/>
      <c r="F47" s="52" t="s">
        <v>268</v>
      </c>
      <c r="G47" s="153"/>
    </row>
    <row r="48" spans="2:19" x14ac:dyDescent="0.5">
      <c r="B48" s="2" t="s">
        <v>139</v>
      </c>
      <c r="C48" s="2" t="s">
        <v>127</v>
      </c>
      <c r="D48" s="17" t="str">
        <f t="shared" si="3"/>
        <v>Aantal integrale geboortezorg prestaties_Geboortezorg nataal complex</v>
      </c>
      <c r="E48" s="143"/>
      <c r="F48" s="52" t="s">
        <v>268</v>
      </c>
      <c r="G48" s="153"/>
    </row>
    <row r="49" spans="2:7" x14ac:dyDescent="0.5">
      <c r="B49" s="2" t="s">
        <v>140</v>
      </c>
      <c r="C49" s="2" t="s">
        <v>127</v>
      </c>
      <c r="D49" s="17" t="str">
        <f t="shared" si="3"/>
        <v>Aantal integrale geboortezorg prestaties_Geboortezorg postnataal</v>
      </c>
      <c r="E49" s="143"/>
      <c r="F49" s="52" t="s">
        <v>268</v>
      </c>
      <c r="G49" s="153"/>
    </row>
    <row r="50" spans="2:7" x14ac:dyDescent="0.5">
      <c r="B50" s="2" t="s">
        <v>137</v>
      </c>
      <c r="C50" s="2" t="s">
        <v>127</v>
      </c>
      <c r="D50" s="17" t="str">
        <f t="shared" si="3"/>
        <v>Aantal integrale geboortezorg prestaties_Geboortezorg postnataal complex</v>
      </c>
      <c r="E50" s="143"/>
      <c r="F50" s="52" t="s">
        <v>268</v>
      </c>
      <c r="G50" s="153"/>
    </row>
    <row r="51" spans="2:7" x14ac:dyDescent="0.5">
      <c r="B51" s="2" t="s">
        <v>138</v>
      </c>
      <c r="C51" s="2" t="s">
        <v>127</v>
      </c>
      <c r="D51" s="17" t="str">
        <f t="shared" si="3"/>
        <v>Aantal integrale geboortezorg prestaties_Kraamzorg postnataal per uur</v>
      </c>
      <c r="E51" s="143"/>
      <c r="F51" s="52" t="s">
        <v>268</v>
      </c>
      <c r="G51" s="153"/>
    </row>
    <row r="52" spans="2:7" x14ac:dyDescent="0.5">
      <c r="F52" s="53"/>
      <c r="G52" s="154"/>
    </row>
    <row r="53" spans="2:7" x14ac:dyDescent="0.5">
      <c r="B53" s="1" t="s">
        <v>286</v>
      </c>
      <c r="C53" s="1" t="s">
        <v>126</v>
      </c>
      <c r="D53" s="1" t="s">
        <v>147</v>
      </c>
      <c r="F53" s="8" t="s">
        <v>166</v>
      </c>
      <c r="G53" s="155" t="s">
        <v>4</v>
      </c>
    </row>
    <row r="54" spans="2:7" x14ac:dyDescent="0.5">
      <c r="B54" s="17" t="s">
        <v>141</v>
      </c>
      <c r="C54" s="2" t="s">
        <v>128</v>
      </c>
      <c r="D54" s="17" t="str">
        <f t="shared" ref="D54:D62" si="4">$B$53&amp;"_"&amp;B54</f>
        <v>Gecontracteerd tarief per integrale geboortezorg prestatie_Begeleiding eindigend &lt;16 wkn zwangerschap incl. nazorg</v>
      </c>
      <c r="E54" s="145"/>
      <c r="F54" s="51" t="s">
        <v>167</v>
      </c>
      <c r="G54" s="153"/>
    </row>
    <row r="55" spans="2:7" x14ac:dyDescent="0.5">
      <c r="B55" s="2" t="s">
        <v>133</v>
      </c>
      <c r="C55" s="2" t="s">
        <v>128</v>
      </c>
      <c r="D55" s="17" t="str">
        <f t="shared" si="4"/>
        <v>Gecontracteerd tarief per integrale geboortezorg prestatie_Geboortezorg prenataal</v>
      </c>
      <c r="E55" s="145"/>
      <c r="F55" s="51" t="s">
        <v>167</v>
      </c>
      <c r="G55" s="153"/>
    </row>
    <row r="56" spans="2:7" x14ac:dyDescent="0.5">
      <c r="B56" s="2" t="s">
        <v>134</v>
      </c>
      <c r="C56" s="2" t="s">
        <v>128</v>
      </c>
      <c r="D56" s="17" t="str">
        <f t="shared" si="4"/>
        <v>Gecontracteerd tarief per integrale geboortezorg prestatie_Geboortezorg prenataal complex</v>
      </c>
      <c r="E56" s="145"/>
      <c r="F56" s="51" t="s">
        <v>167</v>
      </c>
      <c r="G56" s="153"/>
    </row>
    <row r="57" spans="2:7" x14ac:dyDescent="0.5">
      <c r="B57" s="2" t="s">
        <v>135</v>
      </c>
      <c r="C57" s="2" t="s">
        <v>128</v>
      </c>
      <c r="D57" s="17" t="str">
        <f t="shared" si="4"/>
        <v>Gecontracteerd tarief per integrale geboortezorg prestatie_Geboortezorg nataal</v>
      </c>
      <c r="E57" s="145"/>
      <c r="F57" s="51" t="s">
        <v>167</v>
      </c>
      <c r="G57" s="153"/>
    </row>
    <row r="58" spans="2:7" x14ac:dyDescent="0.5">
      <c r="B58" s="2" t="s">
        <v>136</v>
      </c>
      <c r="C58" s="2" t="s">
        <v>128</v>
      </c>
      <c r="D58" s="17" t="str">
        <f t="shared" si="4"/>
        <v>Gecontracteerd tarief per integrale geboortezorg prestatie_Geboortezorg nataal intramuraal op eigen verzoek</v>
      </c>
      <c r="E58" s="145"/>
      <c r="F58" s="51" t="s">
        <v>167</v>
      </c>
      <c r="G58" s="153"/>
    </row>
    <row r="59" spans="2:7" x14ac:dyDescent="0.5">
      <c r="B59" s="2" t="s">
        <v>139</v>
      </c>
      <c r="C59" s="2" t="s">
        <v>128</v>
      </c>
      <c r="D59" s="17" t="str">
        <f t="shared" si="4"/>
        <v>Gecontracteerd tarief per integrale geboortezorg prestatie_Geboortezorg nataal complex</v>
      </c>
      <c r="E59" s="145"/>
      <c r="F59" s="51" t="s">
        <v>167</v>
      </c>
      <c r="G59" s="153"/>
    </row>
    <row r="60" spans="2:7" x14ac:dyDescent="0.5">
      <c r="B60" s="2" t="s">
        <v>140</v>
      </c>
      <c r="C60" s="2" t="s">
        <v>128</v>
      </c>
      <c r="D60" s="17" t="str">
        <f t="shared" si="4"/>
        <v>Gecontracteerd tarief per integrale geboortezorg prestatie_Geboortezorg postnataal</v>
      </c>
      <c r="E60" s="145"/>
      <c r="F60" s="51" t="s">
        <v>167</v>
      </c>
      <c r="G60" s="153"/>
    </row>
    <row r="61" spans="2:7" x14ac:dyDescent="0.5">
      <c r="B61" s="2" t="s">
        <v>137</v>
      </c>
      <c r="C61" s="2" t="s">
        <v>128</v>
      </c>
      <c r="D61" s="17" t="str">
        <f t="shared" si="4"/>
        <v>Gecontracteerd tarief per integrale geboortezorg prestatie_Geboortezorg postnataal complex</v>
      </c>
      <c r="E61" s="145"/>
      <c r="F61" s="51" t="s">
        <v>167</v>
      </c>
      <c r="G61" s="153"/>
    </row>
    <row r="62" spans="2:7" x14ac:dyDescent="0.5">
      <c r="B62" s="2" t="s">
        <v>138</v>
      </c>
      <c r="C62" s="2" t="s">
        <v>128</v>
      </c>
      <c r="D62" s="17" t="str">
        <f t="shared" si="4"/>
        <v>Gecontracteerd tarief per integrale geboortezorg prestatie_Kraamzorg postnataal per uur</v>
      </c>
      <c r="E62" s="144"/>
      <c r="F62" s="51" t="s">
        <v>167</v>
      </c>
      <c r="G62" s="153" t="s">
        <v>160</v>
      </c>
    </row>
    <row r="63" spans="2:7" x14ac:dyDescent="0.5">
      <c r="G63" s="154"/>
    </row>
    <row r="64" spans="2:7" x14ac:dyDescent="0.5">
      <c r="B64" s="1" t="s">
        <v>287</v>
      </c>
      <c r="C64" s="1" t="s">
        <v>126</v>
      </c>
      <c r="E64"/>
      <c r="F64" s="8" t="s">
        <v>166</v>
      </c>
      <c r="G64" s="155" t="s">
        <v>4</v>
      </c>
    </row>
    <row r="65" spans="2:7" x14ac:dyDescent="0.5">
      <c r="B65" s="2" t="s">
        <v>264</v>
      </c>
      <c r="C65" s="2" t="s">
        <v>128</v>
      </c>
      <c r="D65" s="17" t="str">
        <f>$B$64&amp;"_"&amp;B65</f>
        <v>Overheadkosten van de IGO / zorggroep / …_Beheerskosten IGO / zorggroep / …</v>
      </c>
      <c r="E65" s="145"/>
      <c r="F65" s="54" t="s">
        <v>172</v>
      </c>
      <c r="G65" s="153"/>
    </row>
    <row r="66" spans="2:7" x14ac:dyDescent="0.5">
      <c r="B66" s="2" t="s">
        <v>150</v>
      </c>
      <c r="C66" s="2" t="s">
        <v>128</v>
      </c>
      <c r="D66" s="17" t="str">
        <f>$B$64&amp;"_"&amp;B66</f>
        <v>Overheadkosten van de IGO / zorggroep / …_Innovatie- en kwaliteitsprojecten</v>
      </c>
      <c r="E66" s="145"/>
      <c r="F66" s="54" t="s">
        <v>390</v>
      </c>
      <c r="G66" s="153"/>
    </row>
    <row r="67" spans="2:7" x14ac:dyDescent="0.5">
      <c r="B67" s="2" t="s">
        <v>151</v>
      </c>
      <c r="C67" s="2" t="s">
        <v>128</v>
      </c>
      <c r="D67" s="17" t="str">
        <f>$B$64&amp;"_"&amp;B67</f>
        <v>Overheadkosten van de IGO / zorggroep / …_Overige kosten</v>
      </c>
      <c r="E67" s="145"/>
      <c r="F67" s="55" t="s">
        <v>391</v>
      </c>
      <c r="G67" s="153"/>
    </row>
    <row r="68" spans="2:7" x14ac:dyDescent="0.5">
      <c r="G68" s="154"/>
    </row>
    <row r="69" spans="2:7" x14ac:dyDescent="0.5">
      <c r="B69" s="1" t="s">
        <v>293</v>
      </c>
      <c r="C69" s="1" t="s">
        <v>126</v>
      </c>
      <c r="D69" s="1" t="s">
        <v>147</v>
      </c>
      <c r="E69" s="8"/>
      <c r="F69" s="8" t="s">
        <v>166</v>
      </c>
      <c r="G69" s="155" t="s">
        <v>4</v>
      </c>
    </row>
    <row r="70" spans="2:7" x14ac:dyDescent="0.5">
      <c r="B70" s="2" t="s">
        <v>152</v>
      </c>
      <c r="C70" s="2" t="s">
        <v>127</v>
      </c>
      <c r="D70" s="2" t="str">
        <f t="shared" ref="D70:D81" si="5">$B$69&amp;"_"&amp;B70</f>
        <v>Mogelijke activiteiten buiten IGO / zorggroep / … - echscopie_Algemene termijnecho om de zwangerschapsduur te bepalen</v>
      </c>
      <c r="E70" s="143"/>
      <c r="F70" s="52" t="s">
        <v>203</v>
      </c>
      <c r="G70" s="153"/>
    </row>
    <row r="71" spans="2:7" x14ac:dyDescent="0.5">
      <c r="B71" s="2" t="s">
        <v>153</v>
      </c>
      <c r="C71" s="2" t="s">
        <v>128</v>
      </c>
      <c r="D71" s="2" t="str">
        <f t="shared" si="5"/>
        <v>Mogelijke activiteiten buiten IGO / zorggroep / … - echscopie_Kosten Algemene termijnecho om de zwangerschapsduur te bepalen</v>
      </c>
      <c r="E71" s="144">
        <v>48.62</v>
      </c>
      <c r="F71" s="52" t="s">
        <v>203</v>
      </c>
      <c r="G71" s="153" t="s">
        <v>209</v>
      </c>
    </row>
    <row r="72" spans="2:7" x14ac:dyDescent="0.5">
      <c r="B72" s="2" t="s">
        <v>149</v>
      </c>
      <c r="C72" s="2" t="s">
        <v>127</v>
      </c>
      <c r="D72" s="2" t="str">
        <f t="shared" si="5"/>
        <v>Mogelijke activiteiten buiten IGO / zorggroep / … - echscopie_Specifieke diagnose echo</v>
      </c>
      <c r="E72" s="143"/>
      <c r="F72" s="52" t="s">
        <v>203</v>
      </c>
      <c r="G72" s="153"/>
    </row>
    <row r="73" spans="2:7" x14ac:dyDescent="0.5">
      <c r="B73" s="2" t="s">
        <v>154</v>
      </c>
      <c r="C73" s="2" t="s">
        <v>128</v>
      </c>
      <c r="D73" s="2" t="str">
        <f t="shared" si="5"/>
        <v>Mogelijke activiteiten buiten IGO / zorggroep / … - echscopie_Kosten Specifieke diagnose echo</v>
      </c>
      <c r="E73" s="144">
        <v>40.520000000000003</v>
      </c>
      <c r="F73" s="52" t="s">
        <v>203</v>
      </c>
      <c r="G73" s="153" t="s">
        <v>209</v>
      </c>
    </row>
    <row r="74" spans="2:7" x14ac:dyDescent="0.5">
      <c r="B74" s="2" t="s">
        <v>211</v>
      </c>
      <c r="C74" s="2" t="s">
        <v>127</v>
      </c>
      <c r="D74" s="2" t="str">
        <f t="shared" si="5"/>
        <v>Mogelijke activiteiten buiten IGO / zorggroep / … - echscopie_Prenatale screening TTSEO - bij eenlingen en bij het eerste kind van een meerlingenzwangerschap</v>
      </c>
      <c r="E74" s="143"/>
      <c r="F74" s="52" t="s">
        <v>203</v>
      </c>
      <c r="G74" s="153"/>
    </row>
    <row r="75" spans="2:7" x14ac:dyDescent="0.5">
      <c r="B75" s="2" t="s">
        <v>212</v>
      </c>
      <c r="C75" s="2" t="s">
        <v>128</v>
      </c>
      <c r="D75" s="2" t="str">
        <f t="shared" si="5"/>
        <v>Mogelijke activiteiten buiten IGO / zorggroep / … - echscopie_Kosten Prenatale screening TTSEO - bij eenlingen en bij het eerste kind van een meerlingenzwangerschap</v>
      </c>
      <c r="E75" s="144">
        <v>163.83000000000001</v>
      </c>
      <c r="F75" s="52" t="s">
        <v>203</v>
      </c>
      <c r="G75" s="153" t="s">
        <v>209</v>
      </c>
    </row>
    <row r="76" spans="2:7" x14ac:dyDescent="0.5">
      <c r="B76" s="2" t="s">
        <v>214</v>
      </c>
      <c r="C76" s="2" t="s">
        <v>127</v>
      </c>
      <c r="D76" s="2" t="str">
        <f t="shared" si="5"/>
        <v>Mogelijke activiteiten buiten IGO / zorggroep / … - echscopie_Prenatale screening TTSEO - bij elk volgend kind van een meerlingenzwangerschap</v>
      </c>
      <c r="E76" s="143"/>
      <c r="F76" s="52" t="s">
        <v>203</v>
      </c>
      <c r="G76" s="153"/>
    </row>
    <row r="77" spans="2:7" x14ac:dyDescent="0.5">
      <c r="B77" s="2" t="s">
        <v>215</v>
      </c>
      <c r="C77" s="2" t="s">
        <v>128</v>
      </c>
      <c r="D77" s="2" t="str">
        <f t="shared" si="5"/>
        <v>Mogelijke activiteiten buiten IGO / zorggroep / … - echscopie_Kosten Prenatale screening TTSEO - bij elk volgend kind van een meerlingenzwangerschap</v>
      </c>
      <c r="E77" s="144">
        <v>163.83000000000001</v>
      </c>
      <c r="F77" s="52" t="s">
        <v>203</v>
      </c>
      <c r="G77" s="153" t="s">
        <v>209</v>
      </c>
    </row>
    <row r="78" spans="2:7" x14ac:dyDescent="0.5">
      <c r="B78" s="2" t="s">
        <v>207</v>
      </c>
      <c r="C78" s="2" t="s">
        <v>127</v>
      </c>
      <c r="D78" s="2" t="str">
        <f t="shared" si="5"/>
        <v>Mogelijke activiteiten buiten IGO / zorggroep / … - echscopie_Nt-meting - bij eenlingen en bij het eerste kind van een meerlingenzwangerschap</v>
      </c>
      <c r="E78" s="143"/>
      <c r="F78" s="52" t="s">
        <v>203</v>
      </c>
      <c r="G78" s="153"/>
    </row>
    <row r="79" spans="2:7" x14ac:dyDescent="0.5">
      <c r="B79" s="2" t="s">
        <v>210</v>
      </c>
      <c r="C79" s="2" t="s">
        <v>128</v>
      </c>
      <c r="D79" s="2" t="str">
        <f t="shared" si="5"/>
        <v>Mogelijke activiteiten buiten IGO / zorggroep / … - echscopie_Kosten - Nt-meting - bij eenlingen en bij het eerste kind van een meerlingenzwangerschap</v>
      </c>
      <c r="E79" s="144">
        <v>188.06</v>
      </c>
      <c r="F79" s="52" t="s">
        <v>203</v>
      </c>
      <c r="G79" s="153" t="s">
        <v>209</v>
      </c>
    </row>
    <row r="80" spans="2:7" x14ac:dyDescent="0.5">
      <c r="B80" s="2" t="s">
        <v>208</v>
      </c>
      <c r="C80" s="2" t="s">
        <v>127</v>
      </c>
      <c r="D80" s="2" t="str">
        <f t="shared" si="5"/>
        <v>Mogelijke activiteiten buiten IGO / zorggroep / … - echscopie_Nt-meting - bij elk volgend kind van een meerlingenzwangerschap</v>
      </c>
      <c r="E80" s="143"/>
      <c r="F80" s="52" t="s">
        <v>203</v>
      </c>
      <c r="G80" s="153"/>
    </row>
    <row r="81" spans="2:7" x14ac:dyDescent="0.5">
      <c r="B81" s="2" t="s">
        <v>213</v>
      </c>
      <c r="C81" s="2" t="s">
        <v>128</v>
      </c>
      <c r="D81" s="2" t="str">
        <f t="shared" si="5"/>
        <v>Mogelijke activiteiten buiten IGO / zorggroep / … - echscopie_Kosten Nt-meting - bij elk volgend kind van een meerlingenzwangerschap</v>
      </c>
      <c r="E81" s="144">
        <v>113.45</v>
      </c>
      <c r="F81" s="52" t="s">
        <v>203</v>
      </c>
      <c r="G81" s="153" t="s">
        <v>209</v>
      </c>
    </row>
    <row r="82" spans="2:7" x14ac:dyDescent="0.5">
      <c r="E82"/>
      <c r="F82" s="72"/>
      <c r="G82" s="154"/>
    </row>
    <row r="83" spans="2:7" x14ac:dyDescent="0.5">
      <c r="B83" s="1" t="s">
        <v>294</v>
      </c>
      <c r="F83" s="8" t="s">
        <v>166</v>
      </c>
      <c r="G83" s="155" t="s">
        <v>4</v>
      </c>
    </row>
    <row r="84" spans="2:7" x14ac:dyDescent="0.5">
      <c r="B84" s="2" t="s">
        <v>216</v>
      </c>
      <c r="C84" s="2" t="s">
        <v>127</v>
      </c>
      <c r="D84" s="2" t="str">
        <f>$B$83&amp;"_"&amp;B84</f>
        <v xml:space="preserve">Mogelijke activiteiten buiten IGO / zorggroep / … - geboortezorgcentrum_Geboortecentrum </v>
      </c>
      <c r="E84" s="143"/>
      <c r="F84" s="52" t="s">
        <v>204</v>
      </c>
      <c r="G84" s="153"/>
    </row>
    <row r="85" spans="2:7" x14ac:dyDescent="0.5">
      <c r="B85" s="2" t="s">
        <v>217</v>
      </c>
      <c r="C85" s="2" t="s">
        <v>128</v>
      </c>
      <c r="D85" s="2" t="str">
        <f>$B$83&amp;"_"&amp;B85</f>
        <v>Mogelijke activiteiten buiten IGO / zorggroep / … - geboortezorgcentrum_Kosten gebruik geboortecentrum</v>
      </c>
      <c r="E85" s="144">
        <v>670.45</v>
      </c>
      <c r="F85" s="52" t="s">
        <v>204</v>
      </c>
      <c r="G85" s="153" t="s">
        <v>209</v>
      </c>
    </row>
    <row r="86" spans="2:7" x14ac:dyDescent="0.5">
      <c r="B86" s="2" t="s">
        <v>218</v>
      </c>
      <c r="C86" s="2" t="s">
        <v>127</v>
      </c>
      <c r="D86" s="2" t="str">
        <f>$B$83&amp;"_"&amp;B86</f>
        <v>Mogelijke activiteiten buiten IGO / zorggroep / … - geboortezorgcentrum_Geboortecentrum met beschikbaarheid lachgas</v>
      </c>
      <c r="E86" s="143"/>
      <c r="F86" s="52" t="s">
        <v>204</v>
      </c>
      <c r="G86" s="153"/>
    </row>
    <row r="87" spans="2:7" x14ac:dyDescent="0.5">
      <c r="B87" s="2" t="s">
        <v>219</v>
      </c>
      <c r="C87" s="2" t="s">
        <v>128</v>
      </c>
      <c r="D87" s="2" t="str">
        <f>$B$83&amp;"_"&amp;B87</f>
        <v>Mogelijke activiteiten buiten IGO / zorggroep / … - geboortezorgcentrum_Kosten gebruik geboortecentrum met beschikbaarheid lachgas</v>
      </c>
      <c r="E87" s="144">
        <v>1170.96</v>
      </c>
      <c r="F87" s="52" t="s">
        <v>204</v>
      </c>
      <c r="G87" s="153" t="s">
        <v>209</v>
      </c>
    </row>
  </sheetData>
  <sheetProtection sheet="1" objects="1" scenarios="1"/>
  <hyperlinks>
    <hyperlink ref="A1" location="Modeltoelichting!A1" display="Modeltoelichting!A1" xr:uid="{B86A19AB-FCF8-43E0-B37D-7E7357D010FB}"/>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08CD1-92EF-4D51-90C4-976372AFE3E6}">
  <sheetPr>
    <tabColor theme="9"/>
  </sheetPr>
  <dimension ref="A1:T138"/>
  <sheetViews>
    <sheetView showGridLines="0" zoomScale="80" zoomScaleNormal="80" workbookViewId="0"/>
  </sheetViews>
  <sheetFormatPr defaultRowHeight="17" x14ac:dyDescent="0.5"/>
  <cols>
    <col min="2" max="2" width="54.84375" bestFit="1" customWidth="1"/>
    <col min="3" max="6" width="19.53515625" customWidth="1"/>
    <col min="7" max="7" width="8.3046875" customWidth="1"/>
    <col min="8" max="8" width="20.23046875" customWidth="1"/>
    <col min="9" max="9" width="22.69140625" style="53" customWidth="1"/>
    <col min="10" max="10" width="105.23046875" customWidth="1"/>
    <col min="11" max="11" width="47.84375" customWidth="1"/>
    <col min="12" max="14" width="16.69140625" customWidth="1"/>
    <col min="16" max="16" width="81.84375" bestFit="1" customWidth="1"/>
    <col min="17" max="20" width="17.07421875" customWidth="1"/>
  </cols>
  <sheetData>
    <row r="1" spans="1:20" ht="17.5" thickBot="1" x14ac:dyDescent="0.55000000000000004">
      <c r="A1" s="93" t="str">
        <f>HYPERLINK(Modeltoelichting!A1,"&lt;&lt;&lt;TERUG")</f>
        <v>&lt;&lt;&lt;TERUG</v>
      </c>
    </row>
    <row r="2" spans="1:20" ht="17.5" thickBot="1" x14ac:dyDescent="0.55000000000000004">
      <c r="A2" s="93"/>
      <c r="B2" s="133" t="s">
        <v>343</v>
      </c>
      <c r="C2" s="134">
        <f>JaarModel</f>
        <v>0</v>
      </c>
    </row>
    <row r="3" spans="1:20" x14ac:dyDescent="0.5">
      <c r="A3" s="93"/>
    </row>
    <row r="4" spans="1:20" ht="20.5" x14ac:dyDescent="0.55000000000000004">
      <c r="B4" s="3" t="s">
        <v>307</v>
      </c>
    </row>
    <row r="5" spans="1:20" ht="21" thickBot="1" x14ac:dyDescent="0.6">
      <c r="B5" s="15" t="s">
        <v>288</v>
      </c>
      <c r="C5" s="15"/>
      <c r="D5" s="15"/>
      <c r="E5" s="16"/>
      <c r="F5" s="16"/>
      <c r="H5" s="139" t="s">
        <v>300</v>
      </c>
      <c r="I5" s="15"/>
      <c r="J5" s="15"/>
      <c r="K5" s="15"/>
      <c r="L5" s="16"/>
      <c r="M5" s="16"/>
      <c r="N5" s="16"/>
    </row>
    <row r="6" spans="1:20" ht="17.5" thickBot="1" x14ac:dyDescent="0.55000000000000004">
      <c r="B6" s="86" t="s">
        <v>380</v>
      </c>
      <c r="E6" s="4"/>
      <c r="F6" s="4"/>
      <c r="H6" s="86" t="s">
        <v>379</v>
      </c>
      <c r="I6" s="135"/>
      <c r="L6" s="4"/>
      <c r="M6" s="4"/>
      <c r="N6" s="4"/>
    </row>
    <row r="7" spans="1:20" x14ac:dyDescent="0.5">
      <c r="B7" t="s">
        <v>381</v>
      </c>
      <c r="H7" t="s">
        <v>385</v>
      </c>
    </row>
    <row r="8" spans="1:20" x14ac:dyDescent="0.5">
      <c r="H8" t="s">
        <v>384</v>
      </c>
    </row>
    <row r="9" spans="1:20" x14ac:dyDescent="0.5">
      <c r="H9" t="s">
        <v>386</v>
      </c>
    </row>
    <row r="10" spans="1:20" x14ac:dyDescent="0.5">
      <c r="H10" t="s">
        <v>387</v>
      </c>
    </row>
    <row r="12" spans="1:20" x14ac:dyDescent="0.5">
      <c r="B12" s="1" t="s">
        <v>301</v>
      </c>
      <c r="G12" s="7"/>
      <c r="H12" s="124" t="s">
        <v>299</v>
      </c>
      <c r="I12" s="136" t="s">
        <v>342</v>
      </c>
      <c r="J12" s="124" t="s">
        <v>7</v>
      </c>
      <c r="K12" s="124" t="s">
        <v>161</v>
      </c>
      <c r="L12" s="124" t="s">
        <v>127</v>
      </c>
      <c r="M12" s="124" t="s">
        <v>298</v>
      </c>
      <c r="N12" s="124" t="s">
        <v>164</v>
      </c>
      <c r="P12" s="1" t="s">
        <v>344</v>
      </c>
    </row>
    <row r="13" spans="1:20" x14ac:dyDescent="0.5">
      <c r="B13" s="125"/>
      <c r="C13" s="127" t="s">
        <v>378</v>
      </c>
      <c r="D13" s="127" t="s">
        <v>3</v>
      </c>
      <c r="E13" s="127" t="s">
        <v>130</v>
      </c>
      <c r="F13" s="127" t="s">
        <v>142</v>
      </c>
      <c r="G13" s="7"/>
      <c r="H13" s="83" t="s">
        <v>168</v>
      </c>
      <c r="I13" s="137">
        <v>1001</v>
      </c>
      <c r="J13" s="84" t="s">
        <v>40</v>
      </c>
      <c r="K13" s="148" t="s">
        <v>135</v>
      </c>
      <c r="L13" s="149"/>
      <c r="M13" s="150">
        <v>1607.19</v>
      </c>
      <c r="N13" s="151">
        <f t="shared" ref="N13:N44" si="0">L13*M13</f>
        <v>0</v>
      </c>
      <c r="P13" s="125"/>
      <c r="Q13" s="126" t="s">
        <v>168</v>
      </c>
      <c r="R13" s="126" t="s">
        <v>3</v>
      </c>
      <c r="S13" s="126" t="s">
        <v>130</v>
      </c>
      <c r="T13" s="126" t="s">
        <v>145</v>
      </c>
    </row>
    <row r="14" spans="1:20" x14ac:dyDescent="0.5">
      <c r="B14" s="17" t="s">
        <v>141</v>
      </c>
      <c r="C14" s="48">
        <f t="shared" ref="C14:C22" si="1">IFERROR(IF(C26="",Q14/$T14,C26),0)</f>
        <v>0</v>
      </c>
      <c r="D14" s="48">
        <f t="shared" ref="D14:D22" si="2">IFERROR(IF(D26="",R14/$T14,D26),0)</f>
        <v>0</v>
      </c>
      <c r="E14" s="48">
        <f t="shared" ref="E14:E22" si="3">IFERROR(IF(E26="",S14/$T14,E26),0)</f>
        <v>0</v>
      </c>
      <c r="F14" s="48">
        <f>SUM(C14:E14)</f>
        <v>0</v>
      </c>
      <c r="G14" s="7"/>
      <c r="H14" s="83" t="s">
        <v>168</v>
      </c>
      <c r="I14" s="137">
        <v>1001</v>
      </c>
      <c r="J14" s="84" t="s">
        <v>40</v>
      </c>
      <c r="K14" s="148" t="s">
        <v>140</v>
      </c>
      <c r="L14" s="149"/>
      <c r="M14" s="150">
        <v>1607.19</v>
      </c>
      <c r="N14" s="151">
        <f t="shared" si="0"/>
        <v>0</v>
      </c>
      <c r="P14" s="17" t="s">
        <v>141</v>
      </c>
      <c r="Q14" s="6">
        <f t="shared" ref="Q14:S22" si="4">SUMIFS($N:$N,$K:$K,$P14,$H:$H,Q$13)</f>
        <v>0</v>
      </c>
      <c r="R14" s="6">
        <f t="shared" si="4"/>
        <v>0</v>
      </c>
      <c r="S14" s="6">
        <f t="shared" si="4"/>
        <v>0</v>
      </c>
      <c r="T14" s="49">
        <f>SUM(Q14:S14)</f>
        <v>0</v>
      </c>
    </row>
    <row r="15" spans="1:20" x14ac:dyDescent="0.5">
      <c r="B15" s="2" t="s">
        <v>133</v>
      </c>
      <c r="C15" s="48">
        <f t="shared" si="1"/>
        <v>0</v>
      </c>
      <c r="D15" s="48">
        <f t="shared" si="2"/>
        <v>0</v>
      </c>
      <c r="E15" s="48">
        <f t="shared" si="3"/>
        <v>0</v>
      </c>
      <c r="F15" s="48">
        <f t="shared" ref="F15:F22" si="5">SUM(C15:E15)</f>
        <v>0</v>
      </c>
      <c r="G15" s="7"/>
      <c r="H15" s="83" t="s">
        <v>168</v>
      </c>
      <c r="I15" s="137">
        <v>1001</v>
      </c>
      <c r="J15" s="84" t="s">
        <v>40</v>
      </c>
      <c r="K15" s="148" t="s">
        <v>133</v>
      </c>
      <c r="L15" s="149"/>
      <c r="M15" s="150">
        <v>1607.19</v>
      </c>
      <c r="N15" s="151">
        <f t="shared" si="0"/>
        <v>0</v>
      </c>
      <c r="P15" s="2" t="s">
        <v>133</v>
      </c>
      <c r="Q15" s="6">
        <f t="shared" si="4"/>
        <v>0</v>
      </c>
      <c r="R15" s="6">
        <f t="shared" si="4"/>
        <v>0</v>
      </c>
      <c r="S15" s="6">
        <f t="shared" si="4"/>
        <v>0</v>
      </c>
      <c r="T15" s="49">
        <f t="shared" ref="T15:T23" si="6">SUM(Q15:S15)</f>
        <v>0</v>
      </c>
    </row>
    <row r="16" spans="1:20" x14ac:dyDescent="0.5">
      <c r="B16" s="2" t="s">
        <v>134</v>
      </c>
      <c r="C16" s="48">
        <f t="shared" si="1"/>
        <v>0</v>
      </c>
      <c r="D16" s="48">
        <f t="shared" si="2"/>
        <v>0</v>
      </c>
      <c r="E16" s="48">
        <f t="shared" si="3"/>
        <v>0</v>
      </c>
      <c r="F16" s="48">
        <f t="shared" si="5"/>
        <v>0</v>
      </c>
      <c r="G16" s="7"/>
      <c r="H16" s="83" t="s">
        <v>168</v>
      </c>
      <c r="I16" s="137">
        <v>1011</v>
      </c>
      <c r="J16" s="84" t="s">
        <v>53</v>
      </c>
      <c r="K16" s="148" t="s">
        <v>135</v>
      </c>
      <c r="L16" s="149"/>
      <c r="M16" s="150">
        <v>1976.85</v>
      </c>
      <c r="N16" s="151">
        <f t="shared" si="0"/>
        <v>0</v>
      </c>
      <c r="P16" s="2" t="s">
        <v>134</v>
      </c>
      <c r="Q16" s="6">
        <f t="shared" si="4"/>
        <v>0</v>
      </c>
      <c r="R16" s="6">
        <f t="shared" si="4"/>
        <v>0</v>
      </c>
      <c r="S16" s="6">
        <f t="shared" si="4"/>
        <v>0</v>
      </c>
      <c r="T16" s="49">
        <f t="shared" si="6"/>
        <v>0</v>
      </c>
    </row>
    <row r="17" spans="2:20" x14ac:dyDescent="0.5">
      <c r="B17" s="2" t="s">
        <v>135</v>
      </c>
      <c r="C17" s="48">
        <f t="shared" si="1"/>
        <v>0</v>
      </c>
      <c r="D17" s="48">
        <f t="shared" si="2"/>
        <v>0</v>
      </c>
      <c r="E17" s="48">
        <f t="shared" si="3"/>
        <v>0</v>
      </c>
      <c r="F17" s="48">
        <f t="shared" si="5"/>
        <v>0</v>
      </c>
      <c r="G17" s="7"/>
      <c r="H17" s="83" t="s">
        <v>168</v>
      </c>
      <c r="I17" s="137">
        <v>1011</v>
      </c>
      <c r="J17" s="84" t="s">
        <v>53</v>
      </c>
      <c r="K17" s="148" t="s">
        <v>140</v>
      </c>
      <c r="L17" s="149"/>
      <c r="M17" s="150">
        <v>1976.85</v>
      </c>
      <c r="N17" s="151">
        <f t="shared" si="0"/>
        <v>0</v>
      </c>
      <c r="P17" s="2" t="s">
        <v>135</v>
      </c>
      <c r="Q17" s="6">
        <f t="shared" si="4"/>
        <v>0</v>
      </c>
      <c r="R17" s="6">
        <f t="shared" si="4"/>
        <v>0</v>
      </c>
      <c r="S17" s="6">
        <f t="shared" si="4"/>
        <v>0</v>
      </c>
      <c r="T17" s="49">
        <f t="shared" si="6"/>
        <v>0</v>
      </c>
    </row>
    <row r="18" spans="2:20" x14ac:dyDescent="0.5">
      <c r="B18" s="2" t="s">
        <v>136</v>
      </c>
      <c r="C18" s="48">
        <f t="shared" si="1"/>
        <v>0</v>
      </c>
      <c r="D18" s="48">
        <f t="shared" si="2"/>
        <v>0</v>
      </c>
      <c r="E18" s="48">
        <f t="shared" si="3"/>
        <v>0</v>
      </c>
      <c r="F18" s="48">
        <f t="shared" si="5"/>
        <v>0</v>
      </c>
      <c r="G18" s="7"/>
      <c r="H18" s="83" t="s">
        <v>168</v>
      </c>
      <c r="I18" s="137">
        <v>1011</v>
      </c>
      <c r="J18" s="84" t="s">
        <v>53</v>
      </c>
      <c r="K18" s="148" t="s">
        <v>133</v>
      </c>
      <c r="L18" s="149"/>
      <c r="M18" s="150">
        <v>1976.85</v>
      </c>
      <c r="N18" s="151">
        <f t="shared" si="0"/>
        <v>0</v>
      </c>
      <c r="P18" s="2" t="s">
        <v>136</v>
      </c>
      <c r="Q18" s="6">
        <f t="shared" si="4"/>
        <v>0</v>
      </c>
      <c r="R18" s="6">
        <f t="shared" si="4"/>
        <v>0</v>
      </c>
      <c r="S18" s="6">
        <f t="shared" si="4"/>
        <v>0</v>
      </c>
      <c r="T18" s="49">
        <f t="shared" si="6"/>
        <v>0</v>
      </c>
    </row>
    <row r="19" spans="2:20" x14ac:dyDescent="0.5">
      <c r="B19" s="2" t="s">
        <v>139</v>
      </c>
      <c r="C19" s="48">
        <f t="shared" si="1"/>
        <v>0</v>
      </c>
      <c r="D19" s="48">
        <f t="shared" si="2"/>
        <v>0</v>
      </c>
      <c r="E19" s="48">
        <f t="shared" si="3"/>
        <v>0</v>
      </c>
      <c r="F19" s="48">
        <f t="shared" si="5"/>
        <v>0</v>
      </c>
      <c r="G19" s="7"/>
      <c r="H19" s="83" t="s">
        <v>168</v>
      </c>
      <c r="I19" s="137">
        <v>1101</v>
      </c>
      <c r="J19" s="84" t="s">
        <v>45</v>
      </c>
      <c r="K19" s="148" t="s">
        <v>133</v>
      </c>
      <c r="L19" s="149"/>
      <c r="M19" s="150">
        <v>594.66</v>
      </c>
      <c r="N19" s="151">
        <f t="shared" si="0"/>
        <v>0</v>
      </c>
      <c r="P19" s="2" t="s">
        <v>139</v>
      </c>
      <c r="Q19" s="6">
        <f t="shared" si="4"/>
        <v>0</v>
      </c>
      <c r="R19" s="6">
        <f t="shared" si="4"/>
        <v>0</v>
      </c>
      <c r="S19" s="6">
        <f t="shared" si="4"/>
        <v>0</v>
      </c>
      <c r="T19" s="49">
        <f t="shared" si="6"/>
        <v>0</v>
      </c>
    </row>
    <row r="20" spans="2:20" x14ac:dyDescent="0.5">
      <c r="B20" s="2" t="s">
        <v>140</v>
      </c>
      <c r="C20" s="48">
        <f t="shared" si="1"/>
        <v>0</v>
      </c>
      <c r="D20" s="48">
        <f t="shared" si="2"/>
        <v>0</v>
      </c>
      <c r="E20" s="48">
        <f t="shared" si="3"/>
        <v>0</v>
      </c>
      <c r="F20" s="48">
        <f t="shared" si="5"/>
        <v>0</v>
      </c>
      <c r="G20" s="7"/>
      <c r="H20" s="83" t="s">
        <v>168</v>
      </c>
      <c r="I20" s="137">
        <v>1102</v>
      </c>
      <c r="J20" s="84" t="s">
        <v>48</v>
      </c>
      <c r="K20" s="148" t="s">
        <v>135</v>
      </c>
      <c r="L20" s="149"/>
      <c r="M20" s="150">
        <v>650.91</v>
      </c>
      <c r="N20" s="151">
        <f t="shared" si="0"/>
        <v>0</v>
      </c>
      <c r="P20" s="2" t="s">
        <v>140</v>
      </c>
      <c r="Q20" s="6">
        <f t="shared" si="4"/>
        <v>0</v>
      </c>
      <c r="R20" s="6">
        <f t="shared" si="4"/>
        <v>0</v>
      </c>
      <c r="S20" s="6">
        <f t="shared" si="4"/>
        <v>0</v>
      </c>
      <c r="T20" s="49">
        <f t="shared" si="6"/>
        <v>0</v>
      </c>
    </row>
    <row r="21" spans="2:20" x14ac:dyDescent="0.5">
      <c r="B21" s="2" t="s">
        <v>137</v>
      </c>
      <c r="C21" s="48">
        <f t="shared" si="1"/>
        <v>0</v>
      </c>
      <c r="D21" s="48">
        <f t="shared" si="2"/>
        <v>0</v>
      </c>
      <c r="E21" s="48">
        <f t="shared" si="3"/>
        <v>0</v>
      </c>
      <c r="F21" s="48">
        <f t="shared" si="5"/>
        <v>0</v>
      </c>
      <c r="G21" s="7"/>
      <c r="H21" s="83" t="s">
        <v>168</v>
      </c>
      <c r="I21" s="137">
        <v>1103</v>
      </c>
      <c r="J21" s="84" t="s">
        <v>36</v>
      </c>
      <c r="K21" s="148" t="s">
        <v>140</v>
      </c>
      <c r="L21" s="149"/>
      <c r="M21" s="150">
        <v>361.62</v>
      </c>
      <c r="N21" s="151">
        <f t="shared" si="0"/>
        <v>0</v>
      </c>
      <c r="P21" s="2" t="s">
        <v>137</v>
      </c>
      <c r="Q21" s="6">
        <f t="shared" si="4"/>
        <v>0</v>
      </c>
      <c r="R21" s="6">
        <f t="shared" si="4"/>
        <v>0</v>
      </c>
      <c r="S21" s="6">
        <f t="shared" si="4"/>
        <v>0</v>
      </c>
      <c r="T21" s="49">
        <f t="shared" si="6"/>
        <v>0</v>
      </c>
    </row>
    <row r="22" spans="2:20" ht="17.5" thickBot="1" x14ac:dyDescent="0.55000000000000004">
      <c r="B22" s="47" t="s">
        <v>138</v>
      </c>
      <c r="C22" s="48">
        <f t="shared" si="1"/>
        <v>0</v>
      </c>
      <c r="D22" s="48">
        <f t="shared" si="2"/>
        <v>0</v>
      </c>
      <c r="E22" s="48">
        <f t="shared" si="3"/>
        <v>0</v>
      </c>
      <c r="F22" s="48">
        <f t="shared" si="5"/>
        <v>0</v>
      </c>
      <c r="G22" s="7"/>
      <c r="H22" s="83" t="s">
        <v>168</v>
      </c>
      <c r="I22" s="137">
        <v>1111</v>
      </c>
      <c r="J22" s="84" t="s">
        <v>77</v>
      </c>
      <c r="K22" s="148" t="s">
        <v>133</v>
      </c>
      <c r="L22" s="149"/>
      <c r="M22" s="150">
        <v>731.43</v>
      </c>
      <c r="N22" s="151">
        <f t="shared" si="0"/>
        <v>0</v>
      </c>
      <c r="P22" s="79" t="s">
        <v>138</v>
      </c>
      <c r="Q22" s="29">
        <f t="shared" si="4"/>
        <v>0</v>
      </c>
      <c r="R22" s="29">
        <f t="shared" si="4"/>
        <v>0</v>
      </c>
      <c r="S22" s="29">
        <f t="shared" si="4"/>
        <v>0</v>
      </c>
      <c r="T22" s="77">
        <f t="shared" si="6"/>
        <v>0</v>
      </c>
    </row>
    <row r="23" spans="2:20" ht="17.5" thickBot="1" x14ac:dyDescent="0.55000000000000004">
      <c r="G23" s="7"/>
      <c r="H23" s="83" t="s">
        <v>168</v>
      </c>
      <c r="I23" s="137">
        <v>1112</v>
      </c>
      <c r="J23" s="84" t="s">
        <v>69</v>
      </c>
      <c r="K23" s="148" t="s">
        <v>135</v>
      </c>
      <c r="L23" s="149"/>
      <c r="M23" s="150">
        <v>800.62</v>
      </c>
      <c r="N23" s="151">
        <f t="shared" si="0"/>
        <v>0</v>
      </c>
      <c r="P23" s="80" t="s">
        <v>266</v>
      </c>
      <c r="Q23" s="81">
        <f>SUM(Q14:Q22)</f>
        <v>0</v>
      </c>
      <c r="R23" s="81">
        <f t="shared" ref="R23:S23" si="7">SUM(R14:R22)</f>
        <v>0</v>
      </c>
      <c r="S23" s="81">
        <f t="shared" si="7"/>
        <v>0</v>
      </c>
      <c r="T23" s="82">
        <f t="shared" si="6"/>
        <v>0</v>
      </c>
    </row>
    <row r="24" spans="2:20" x14ac:dyDescent="0.5">
      <c r="B24" s="1" t="s">
        <v>382</v>
      </c>
      <c r="G24" s="7"/>
      <c r="H24" s="83" t="s">
        <v>168</v>
      </c>
      <c r="I24" s="137">
        <v>1113</v>
      </c>
      <c r="J24" s="84" t="s">
        <v>52</v>
      </c>
      <c r="K24" s="148" t="s">
        <v>140</v>
      </c>
      <c r="L24" s="149"/>
      <c r="M24" s="150">
        <v>444.79</v>
      </c>
      <c r="N24" s="151">
        <f t="shared" si="0"/>
        <v>0</v>
      </c>
    </row>
    <row r="25" spans="2:20" x14ac:dyDescent="0.5">
      <c r="B25" s="125"/>
      <c r="C25" s="127" t="s">
        <v>378</v>
      </c>
      <c r="D25" s="127" t="s">
        <v>3</v>
      </c>
      <c r="E25" s="127" t="s">
        <v>130</v>
      </c>
      <c r="G25" s="7"/>
      <c r="H25" s="83" t="s">
        <v>168</v>
      </c>
      <c r="I25" s="137">
        <v>1201</v>
      </c>
      <c r="J25" s="84" t="s">
        <v>49</v>
      </c>
      <c r="K25" s="148" t="s">
        <v>133</v>
      </c>
      <c r="L25" s="149"/>
      <c r="M25" s="150">
        <v>202.18</v>
      </c>
      <c r="N25" s="151">
        <f t="shared" si="0"/>
        <v>0</v>
      </c>
    </row>
    <row r="26" spans="2:20" x14ac:dyDescent="0.5">
      <c r="B26" s="17" t="s">
        <v>141</v>
      </c>
      <c r="C26" s="147"/>
      <c r="D26" s="147"/>
      <c r="E26" s="147"/>
      <c r="G26" s="7"/>
      <c r="H26" s="83" t="s">
        <v>168</v>
      </c>
      <c r="I26" s="137">
        <v>1203</v>
      </c>
      <c r="J26" s="84" t="s">
        <v>43</v>
      </c>
      <c r="K26" s="148" t="s">
        <v>133</v>
      </c>
      <c r="L26" s="149"/>
      <c r="M26" s="150">
        <v>683.86</v>
      </c>
      <c r="N26" s="151">
        <f t="shared" si="0"/>
        <v>0</v>
      </c>
    </row>
    <row r="27" spans="2:20" x14ac:dyDescent="0.5">
      <c r="B27" s="2" t="s">
        <v>133</v>
      </c>
      <c r="C27" s="147"/>
      <c r="D27" s="147"/>
      <c r="E27" s="147"/>
      <c r="G27" s="7"/>
      <c r="H27" s="83" t="s">
        <v>168</v>
      </c>
      <c r="I27" s="137">
        <v>1204</v>
      </c>
      <c r="J27" s="84" t="s">
        <v>50</v>
      </c>
      <c r="K27" s="148" t="s">
        <v>133</v>
      </c>
      <c r="L27" s="149"/>
      <c r="M27" s="150">
        <v>303.27999999999997</v>
      </c>
      <c r="N27" s="151">
        <f t="shared" si="0"/>
        <v>0</v>
      </c>
    </row>
    <row r="28" spans="2:20" x14ac:dyDescent="0.5">
      <c r="B28" s="2" t="s">
        <v>134</v>
      </c>
      <c r="C28" s="147"/>
      <c r="D28" s="147"/>
      <c r="E28" s="147"/>
      <c r="G28" s="7"/>
      <c r="H28" s="83" t="s">
        <v>168</v>
      </c>
      <c r="I28" s="137">
        <v>1211</v>
      </c>
      <c r="J28" s="84" t="s">
        <v>64</v>
      </c>
      <c r="K28" s="148" t="s">
        <v>133</v>
      </c>
      <c r="L28" s="149"/>
      <c r="M28" s="150">
        <v>248.68</v>
      </c>
      <c r="N28" s="151">
        <f t="shared" si="0"/>
        <v>0</v>
      </c>
    </row>
    <row r="29" spans="2:20" x14ac:dyDescent="0.5">
      <c r="B29" s="2" t="s">
        <v>135</v>
      </c>
      <c r="C29" s="147"/>
      <c r="D29" s="147"/>
      <c r="E29" s="147"/>
      <c r="G29" s="7"/>
      <c r="H29" s="83" t="s">
        <v>168</v>
      </c>
      <c r="I29" s="137">
        <v>1213</v>
      </c>
      <c r="J29" s="84" t="s">
        <v>54</v>
      </c>
      <c r="K29" s="148" t="s">
        <v>133</v>
      </c>
      <c r="L29" s="149"/>
      <c r="M29" s="150">
        <v>841.15</v>
      </c>
      <c r="N29" s="151">
        <f t="shared" si="0"/>
        <v>0</v>
      </c>
    </row>
    <row r="30" spans="2:20" x14ac:dyDescent="0.5">
      <c r="B30" s="2" t="s">
        <v>136</v>
      </c>
      <c r="C30" s="147"/>
      <c r="D30" s="147"/>
      <c r="E30" s="147"/>
      <c r="G30" s="7"/>
      <c r="H30" s="83" t="s">
        <v>168</v>
      </c>
      <c r="I30" s="137">
        <v>1214</v>
      </c>
      <c r="J30" s="84" t="s">
        <v>71</v>
      </c>
      <c r="K30" s="148" t="s">
        <v>133</v>
      </c>
      <c r="L30" s="149"/>
      <c r="M30" s="150">
        <v>373.03</v>
      </c>
      <c r="N30" s="151">
        <f t="shared" si="0"/>
        <v>0</v>
      </c>
    </row>
    <row r="31" spans="2:20" x14ac:dyDescent="0.5">
      <c r="B31" s="2" t="s">
        <v>139</v>
      </c>
      <c r="C31" s="147"/>
      <c r="D31" s="147"/>
      <c r="E31" s="147"/>
      <c r="G31" s="7"/>
      <c r="H31" s="83" t="s">
        <v>168</v>
      </c>
      <c r="I31" s="137">
        <v>1301</v>
      </c>
      <c r="J31" s="84" t="s">
        <v>60</v>
      </c>
      <c r="K31" s="148" t="s">
        <v>133</v>
      </c>
      <c r="L31" s="149"/>
      <c r="M31" s="150">
        <v>101.09</v>
      </c>
      <c r="N31" s="151">
        <f t="shared" si="0"/>
        <v>0</v>
      </c>
    </row>
    <row r="32" spans="2:20" x14ac:dyDescent="0.5">
      <c r="B32" s="2" t="s">
        <v>140</v>
      </c>
      <c r="C32" s="147"/>
      <c r="D32" s="147"/>
      <c r="E32" s="147"/>
      <c r="G32" s="7"/>
      <c r="H32" s="83" t="s">
        <v>168</v>
      </c>
      <c r="I32" s="137">
        <v>1302</v>
      </c>
      <c r="J32" s="84" t="s">
        <v>62</v>
      </c>
      <c r="K32" s="148" t="s">
        <v>133</v>
      </c>
      <c r="L32" s="149"/>
      <c r="M32" s="150">
        <v>303.27999999999997</v>
      </c>
      <c r="N32" s="151">
        <f t="shared" si="0"/>
        <v>0</v>
      </c>
    </row>
    <row r="33" spans="2:14" x14ac:dyDescent="0.5">
      <c r="B33" s="2" t="s">
        <v>137</v>
      </c>
      <c r="C33" s="147"/>
      <c r="D33" s="147"/>
      <c r="E33" s="147"/>
      <c r="G33" s="7"/>
      <c r="H33" s="83" t="s">
        <v>168</v>
      </c>
      <c r="I33" s="137">
        <v>1303</v>
      </c>
      <c r="J33" s="84" t="s">
        <v>59</v>
      </c>
      <c r="K33" s="148" t="s">
        <v>133</v>
      </c>
      <c r="L33" s="149"/>
      <c r="M33" s="150">
        <v>428.16</v>
      </c>
      <c r="N33" s="151">
        <f t="shared" si="0"/>
        <v>0</v>
      </c>
    </row>
    <row r="34" spans="2:14" x14ac:dyDescent="0.5">
      <c r="B34" s="47" t="s">
        <v>138</v>
      </c>
      <c r="C34" s="147"/>
      <c r="D34" s="147"/>
      <c r="E34" s="147"/>
      <c r="G34" s="7"/>
      <c r="H34" s="83" t="s">
        <v>168</v>
      </c>
      <c r="I34" s="137">
        <v>1311</v>
      </c>
      <c r="J34" s="84" t="s">
        <v>73</v>
      </c>
      <c r="K34" s="148" t="s">
        <v>133</v>
      </c>
      <c r="L34" s="149"/>
      <c r="M34" s="150">
        <v>124.34</v>
      </c>
      <c r="N34" s="151">
        <f t="shared" si="0"/>
        <v>0</v>
      </c>
    </row>
    <row r="35" spans="2:14" x14ac:dyDescent="0.5">
      <c r="G35" s="7"/>
      <c r="H35" s="83" t="s">
        <v>168</v>
      </c>
      <c r="I35" s="137">
        <v>1312</v>
      </c>
      <c r="J35" s="84" t="s">
        <v>66</v>
      </c>
      <c r="K35" s="148" t="s">
        <v>133</v>
      </c>
      <c r="L35" s="149"/>
      <c r="M35" s="150">
        <v>373.03</v>
      </c>
      <c r="N35" s="151">
        <f t="shared" si="0"/>
        <v>0</v>
      </c>
    </row>
    <row r="36" spans="2:14" x14ac:dyDescent="0.5">
      <c r="B36" s="1" t="s">
        <v>383</v>
      </c>
      <c r="G36" s="7"/>
      <c r="H36" s="83" t="s">
        <v>168</v>
      </c>
      <c r="I36" s="137">
        <v>1313</v>
      </c>
      <c r="J36" s="84" t="s">
        <v>57</v>
      </c>
      <c r="K36" s="148" t="s">
        <v>133</v>
      </c>
      <c r="L36" s="149"/>
      <c r="M36" s="150">
        <v>526.64</v>
      </c>
      <c r="N36" s="151">
        <f t="shared" si="0"/>
        <v>0</v>
      </c>
    </row>
    <row r="37" spans="2:14" x14ac:dyDescent="0.5">
      <c r="B37" s="125"/>
      <c r="C37" s="127" t="s">
        <v>378</v>
      </c>
      <c r="D37" s="127" t="s">
        <v>3</v>
      </c>
      <c r="E37" s="127" t="s">
        <v>130</v>
      </c>
      <c r="G37" s="7"/>
      <c r="H37" s="83" t="s">
        <v>168</v>
      </c>
      <c r="I37" s="137">
        <v>1351</v>
      </c>
      <c r="J37" s="84" t="s">
        <v>58</v>
      </c>
      <c r="K37" s="148" t="s">
        <v>133</v>
      </c>
      <c r="L37" s="149"/>
      <c r="M37" s="150">
        <v>594.66</v>
      </c>
      <c r="N37" s="151">
        <f t="shared" si="0"/>
        <v>0</v>
      </c>
    </row>
    <row r="38" spans="2:14" x14ac:dyDescent="0.5">
      <c r="B38" s="17" t="s">
        <v>141</v>
      </c>
      <c r="C38" s="48">
        <v>0</v>
      </c>
      <c r="D38" s="48">
        <v>0</v>
      </c>
      <c r="E38" s="48">
        <v>1</v>
      </c>
      <c r="G38" s="7"/>
      <c r="H38" s="83" t="s">
        <v>168</v>
      </c>
      <c r="I38" s="137">
        <v>1352</v>
      </c>
      <c r="J38" s="84" t="s">
        <v>55</v>
      </c>
      <c r="K38" s="148" t="s">
        <v>133</v>
      </c>
      <c r="L38" s="149"/>
      <c r="M38" s="150">
        <v>392.48</v>
      </c>
      <c r="N38" s="151">
        <f t="shared" si="0"/>
        <v>0</v>
      </c>
    </row>
    <row r="39" spans="2:14" x14ac:dyDescent="0.5">
      <c r="B39" s="2" t="s">
        <v>133</v>
      </c>
      <c r="C39" s="48">
        <v>0.48452078442149316</v>
      </c>
      <c r="D39" s="48">
        <v>4.5339766613427035E-2</v>
      </c>
      <c r="E39" s="48">
        <v>0.47013944896507975</v>
      </c>
      <c r="G39" s="7"/>
      <c r="H39" s="83" t="s">
        <v>168</v>
      </c>
      <c r="I39" s="137">
        <v>1353</v>
      </c>
      <c r="J39" s="84" t="s">
        <v>61</v>
      </c>
      <c r="K39" s="148" t="s">
        <v>133</v>
      </c>
      <c r="L39" s="149"/>
      <c r="M39" s="150">
        <v>267.60000000000002</v>
      </c>
      <c r="N39" s="151">
        <f t="shared" si="0"/>
        <v>0</v>
      </c>
    </row>
    <row r="40" spans="2:14" x14ac:dyDescent="0.5">
      <c r="B40" s="2" t="s">
        <v>134</v>
      </c>
      <c r="C40" s="48">
        <v>0</v>
      </c>
      <c r="D40" s="48">
        <v>0</v>
      </c>
      <c r="E40" s="48">
        <v>1</v>
      </c>
      <c r="G40" s="7"/>
      <c r="H40" s="83" t="s">
        <v>168</v>
      </c>
      <c r="I40" s="137">
        <v>1361</v>
      </c>
      <c r="J40" s="84" t="s">
        <v>79</v>
      </c>
      <c r="K40" s="148" t="s">
        <v>133</v>
      </c>
      <c r="L40" s="149"/>
      <c r="M40" s="150">
        <v>731.43</v>
      </c>
      <c r="N40" s="151">
        <f t="shared" si="0"/>
        <v>0</v>
      </c>
    </row>
    <row r="41" spans="2:14" x14ac:dyDescent="0.5">
      <c r="B41" s="2" t="s">
        <v>135</v>
      </c>
      <c r="C41" s="48">
        <v>0.196791292456586</v>
      </c>
      <c r="D41" s="48">
        <v>3.8369489080653081E-2</v>
      </c>
      <c r="E41" s="48">
        <v>0.76483921846276093</v>
      </c>
      <c r="G41" s="7"/>
      <c r="H41" s="83" t="s">
        <v>168</v>
      </c>
      <c r="I41" s="137">
        <v>1362</v>
      </c>
      <c r="J41" s="84" t="s">
        <v>72</v>
      </c>
      <c r="K41" s="148" t="s">
        <v>133</v>
      </c>
      <c r="L41" s="149"/>
      <c r="M41" s="150">
        <v>482.75</v>
      </c>
      <c r="N41" s="151">
        <f t="shared" si="0"/>
        <v>0</v>
      </c>
    </row>
    <row r="42" spans="2:14" x14ac:dyDescent="0.5">
      <c r="B42" s="2" t="s">
        <v>136</v>
      </c>
      <c r="C42" s="48">
        <v>0.122664199339534</v>
      </c>
      <c r="D42" s="48">
        <v>0.30137240323493114</v>
      </c>
      <c r="E42" s="48">
        <v>0.57596339742553493</v>
      </c>
      <c r="G42" s="7"/>
      <c r="H42" s="83" t="s">
        <v>168</v>
      </c>
      <c r="I42" s="137">
        <v>1363</v>
      </c>
      <c r="J42" s="84" t="s">
        <v>80</v>
      </c>
      <c r="K42" s="148" t="s">
        <v>133</v>
      </c>
      <c r="L42" s="149"/>
      <c r="M42" s="150">
        <v>329.15</v>
      </c>
      <c r="N42" s="151">
        <f t="shared" si="0"/>
        <v>0</v>
      </c>
    </row>
    <row r="43" spans="2:14" x14ac:dyDescent="0.5">
      <c r="B43" s="2" t="s">
        <v>139</v>
      </c>
      <c r="C43" s="48">
        <v>0</v>
      </c>
      <c r="D43" s="48">
        <v>0</v>
      </c>
      <c r="E43" s="48">
        <v>1</v>
      </c>
      <c r="G43" s="7"/>
      <c r="H43" s="83" t="s">
        <v>168</v>
      </c>
      <c r="I43" s="137">
        <v>1401</v>
      </c>
      <c r="J43" s="84" t="s">
        <v>51</v>
      </c>
      <c r="K43" s="148" t="s">
        <v>133</v>
      </c>
      <c r="L43" s="149"/>
      <c r="M43" s="150">
        <v>111.24</v>
      </c>
      <c r="N43" s="151">
        <f t="shared" si="0"/>
        <v>0</v>
      </c>
    </row>
    <row r="44" spans="2:14" x14ac:dyDescent="0.5">
      <c r="B44" s="2" t="s">
        <v>140</v>
      </c>
      <c r="C44" s="48">
        <v>0.55453763568154968</v>
      </c>
      <c r="D44" s="48">
        <v>1.7523489059169802E-3</v>
      </c>
      <c r="E44" s="48">
        <v>0.4437100154125333</v>
      </c>
      <c r="G44" s="7"/>
      <c r="H44" s="83" t="s">
        <v>168</v>
      </c>
      <c r="I44" s="137">
        <v>1602</v>
      </c>
      <c r="J44" s="84" t="s">
        <v>35</v>
      </c>
      <c r="K44" s="148" t="s">
        <v>133</v>
      </c>
      <c r="L44" s="149"/>
      <c r="M44" s="150">
        <v>48.02</v>
      </c>
      <c r="N44" s="151">
        <f t="shared" si="0"/>
        <v>0</v>
      </c>
    </row>
    <row r="45" spans="2:14" x14ac:dyDescent="0.5">
      <c r="B45" s="2" t="s">
        <v>137</v>
      </c>
      <c r="C45" s="48">
        <v>0</v>
      </c>
      <c r="D45" s="48">
        <v>0</v>
      </c>
      <c r="E45" s="48">
        <v>1</v>
      </c>
      <c r="G45" s="7"/>
      <c r="H45" s="83" t="s">
        <v>168</v>
      </c>
      <c r="I45" s="137">
        <v>1603</v>
      </c>
      <c r="J45" s="84" t="s">
        <v>39</v>
      </c>
      <c r="K45" s="148" t="s">
        <v>133</v>
      </c>
      <c r="L45" s="149"/>
      <c r="M45" s="150">
        <v>40.020000000000003</v>
      </c>
      <c r="N45" s="151">
        <f t="shared" ref="N45:N76" si="8">L45*M45</f>
        <v>0</v>
      </c>
    </row>
    <row r="46" spans="2:14" x14ac:dyDescent="0.5">
      <c r="B46" s="47" t="s">
        <v>138</v>
      </c>
      <c r="C46" s="48">
        <v>0</v>
      </c>
      <c r="D46" s="48">
        <v>1</v>
      </c>
      <c r="E46" s="48">
        <v>0</v>
      </c>
      <c r="G46" s="7"/>
      <c r="H46" s="83" t="s">
        <v>168</v>
      </c>
      <c r="I46" s="137">
        <v>1604</v>
      </c>
      <c r="J46" s="84" t="s">
        <v>37</v>
      </c>
      <c r="K46" s="148" t="s">
        <v>133</v>
      </c>
      <c r="L46" s="149"/>
      <c r="M46" s="150">
        <v>40.020000000000003</v>
      </c>
      <c r="N46" s="151">
        <f t="shared" si="8"/>
        <v>0</v>
      </c>
    </row>
    <row r="47" spans="2:14" x14ac:dyDescent="0.5">
      <c r="G47" s="7"/>
      <c r="H47" s="83" t="s">
        <v>168</v>
      </c>
      <c r="I47" s="137">
        <v>1605</v>
      </c>
      <c r="J47" s="84" t="s">
        <v>68</v>
      </c>
      <c r="K47" s="148" t="s">
        <v>133</v>
      </c>
      <c r="L47" s="149"/>
      <c r="M47" s="150">
        <v>40.020000000000003</v>
      </c>
      <c r="N47" s="151">
        <f t="shared" si="8"/>
        <v>0</v>
      </c>
    </row>
    <row r="48" spans="2:14" x14ac:dyDescent="0.5">
      <c r="G48" s="7"/>
      <c r="H48" s="83" t="s">
        <v>168</v>
      </c>
      <c r="I48" s="137">
        <v>1606</v>
      </c>
      <c r="J48" s="84" t="s">
        <v>42</v>
      </c>
      <c r="K48" s="148" t="s">
        <v>133</v>
      </c>
      <c r="L48" s="149"/>
      <c r="M48" s="150">
        <v>40.020000000000003</v>
      </c>
      <c r="N48" s="151">
        <f t="shared" si="8"/>
        <v>0</v>
      </c>
    </row>
    <row r="49" spans="7:14" x14ac:dyDescent="0.5">
      <c r="G49" s="7"/>
      <c r="H49" s="83" t="s">
        <v>168</v>
      </c>
      <c r="I49" s="137">
        <v>1607</v>
      </c>
      <c r="J49" s="84" t="s">
        <v>44</v>
      </c>
      <c r="K49" s="148" t="s">
        <v>133</v>
      </c>
      <c r="L49" s="149"/>
      <c r="M49" s="150">
        <v>40.020000000000003</v>
      </c>
      <c r="N49" s="151">
        <f t="shared" si="8"/>
        <v>0</v>
      </c>
    </row>
    <row r="50" spans="7:14" x14ac:dyDescent="0.5">
      <c r="G50" s="7"/>
      <c r="H50" s="83" t="s">
        <v>168</v>
      </c>
      <c r="I50" s="137">
        <v>1610</v>
      </c>
      <c r="J50" s="84" t="s">
        <v>41</v>
      </c>
      <c r="K50" s="148" t="s">
        <v>133</v>
      </c>
      <c r="L50" s="149"/>
      <c r="M50" s="150">
        <v>48.88</v>
      </c>
      <c r="N50" s="151">
        <f t="shared" si="8"/>
        <v>0</v>
      </c>
    </row>
    <row r="51" spans="7:14" ht="34" x14ac:dyDescent="0.5">
      <c r="G51" s="7"/>
      <c r="H51" s="83" t="s">
        <v>168</v>
      </c>
      <c r="I51" s="137">
        <v>1612</v>
      </c>
      <c r="J51" s="84" t="s">
        <v>38</v>
      </c>
      <c r="K51" s="148" t="s">
        <v>133</v>
      </c>
      <c r="L51" s="149"/>
      <c r="M51" s="150">
        <v>162.31</v>
      </c>
      <c r="N51" s="151">
        <f t="shared" si="8"/>
        <v>0</v>
      </c>
    </row>
    <row r="52" spans="7:14" ht="34" x14ac:dyDescent="0.5">
      <c r="G52" s="7"/>
      <c r="H52" s="83" t="s">
        <v>168</v>
      </c>
      <c r="I52" s="137">
        <v>1622</v>
      </c>
      <c r="J52" s="84" t="s">
        <v>75</v>
      </c>
      <c r="K52" s="148" t="s">
        <v>133</v>
      </c>
      <c r="L52" s="149"/>
      <c r="M52" s="150">
        <v>162.31</v>
      </c>
      <c r="N52" s="151">
        <f t="shared" si="8"/>
        <v>0</v>
      </c>
    </row>
    <row r="53" spans="7:14" ht="34" x14ac:dyDescent="0.5">
      <c r="G53" s="7"/>
      <c r="H53" s="83" t="s">
        <v>168</v>
      </c>
      <c r="I53" s="137">
        <v>1625</v>
      </c>
      <c r="J53" s="84" t="s">
        <v>65</v>
      </c>
      <c r="K53" s="148" t="s">
        <v>133</v>
      </c>
      <c r="L53" s="149"/>
      <c r="M53" s="150">
        <v>186.63</v>
      </c>
      <c r="N53" s="151">
        <f t="shared" si="8"/>
        <v>0</v>
      </c>
    </row>
    <row r="54" spans="7:14" ht="34" x14ac:dyDescent="0.5">
      <c r="G54" s="7"/>
      <c r="H54" s="83" t="s">
        <v>168</v>
      </c>
      <c r="I54" s="137">
        <v>1626</v>
      </c>
      <c r="J54" s="84" t="s">
        <v>56</v>
      </c>
      <c r="K54" s="148" t="s">
        <v>133</v>
      </c>
      <c r="L54" s="149"/>
      <c r="M54" s="150">
        <v>186.63</v>
      </c>
      <c r="N54" s="151">
        <f t="shared" si="8"/>
        <v>0</v>
      </c>
    </row>
    <row r="55" spans="7:14" ht="34" x14ac:dyDescent="0.5">
      <c r="G55" s="7"/>
      <c r="H55" s="83" t="s">
        <v>168</v>
      </c>
      <c r="I55" s="137">
        <v>1627</v>
      </c>
      <c r="J55" s="84" t="s">
        <v>78</v>
      </c>
      <c r="K55" s="148" t="s">
        <v>133</v>
      </c>
      <c r="L55" s="149"/>
      <c r="M55" s="150">
        <v>112.4</v>
      </c>
      <c r="N55" s="151">
        <f t="shared" si="8"/>
        <v>0</v>
      </c>
    </row>
    <row r="56" spans="7:14" x14ac:dyDescent="0.5">
      <c r="G56" s="7"/>
      <c r="H56" s="83" t="s">
        <v>168</v>
      </c>
      <c r="I56" s="137">
        <v>1703</v>
      </c>
      <c r="J56" s="84" t="s">
        <v>63</v>
      </c>
      <c r="K56" s="148" t="s">
        <v>136</v>
      </c>
      <c r="L56" s="149"/>
      <c r="M56" s="150">
        <v>594.4</v>
      </c>
      <c r="N56" s="151">
        <f t="shared" si="8"/>
        <v>0</v>
      </c>
    </row>
    <row r="57" spans="7:14" x14ac:dyDescent="0.5">
      <c r="G57" s="7"/>
      <c r="H57" s="83" t="s">
        <v>168</v>
      </c>
      <c r="I57" s="137">
        <v>1705</v>
      </c>
      <c r="J57" s="84" t="s">
        <v>67</v>
      </c>
      <c r="K57" s="148" t="s">
        <v>136</v>
      </c>
      <c r="L57" s="149"/>
      <c r="M57" s="150"/>
      <c r="N57" s="151">
        <f t="shared" si="8"/>
        <v>0</v>
      </c>
    </row>
    <row r="58" spans="7:14" x14ac:dyDescent="0.5">
      <c r="G58" s="7"/>
      <c r="H58" s="83" t="s">
        <v>168</v>
      </c>
      <c r="I58" s="137">
        <v>1706</v>
      </c>
      <c r="J58" s="84" t="s">
        <v>30</v>
      </c>
      <c r="K58" s="148" t="s">
        <v>136</v>
      </c>
      <c r="L58" s="149"/>
      <c r="M58" s="150"/>
      <c r="N58" s="151">
        <f t="shared" si="8"/>
        <v>0</v>
      </c>
    </row>
    <row r="59" spans="7:14" x14ac:dyDescent="0.5">
      <c r="G59" s="7"/>
      <c r="H59" s="83" t="s">
        <v>168</v>
      </c>
      <c r="I59" s="137">
        <v>1708</v>
      </c>
      <c r="J59" s="84" t="s">
        <v>21</v>
      </c>
      <c r="K59" s="148" t="s">
        <v>140</v>
      </c>
      <c r="L59" s="149"/>
      <c r="M59" s="150"/>
      <c r="N59" s="151">
        <f t="shared" si="8"/>
        <v>0</v>
      </c>
    </row>
    <row r="60" spans="7:14" x14ac:dyDescent="0.5">
      <c r="G60" s="7"/>
      <c r="H60" s="83" t="s">
        <v>168</v>
      </c>
      <c r="I60" s="137">
        <v>1713</v>
      </c>
      <c r="J60" s="84" t="s">
        <v>47</v>
      </c>
      <c r="K60" s="148" t="s">
        <v>146</v>
      </c>
      <c r="L60" s="149"/>
      <c r="M60" s="150"/>
      <c r="N60" s="151">
        <f t="shared" si="8"/>
        <v>0</v>
      </c>
    </row>
    <row r="61" spans="7:14" x14ac:dyDescent="0.5">
      <c r="G61" s="7"/>
      <c r="H61" s="83" t="s">
        <v>168</v>
      </c>
      <c r="I61" s="137">
        <v>1714</v>
      </c>
      <c r="J61" s="84" t="s">
        <v>70</v>
      </c>
      <c r="K61" s="148" t="s">
        <v>136</v>
      </c>
      <c r="L61" s="149"/>
      <c r="M61" s="150">
        <v>1064.8800000000001</v>
      </c>
      <c r="N61" s="151">
        <f t="shared" si="8"/>
        <v>0</v>
      </c>
    </row>
    <row r="62" spans="7:14" x14ac:dyDescent="0.5">
      <c r="G62" s="7"/>
      <c r="H62" s="83" t="s">
        <v>168</v>
      </c>
      <c r="I62" s="137">
        <v>1715</v>
      </c>
      <c r="J62" s="84" t="s">
        <v>46</v>
      </c>
      <c r="K62" s="148" t="s">
        <v>146</v>
      </c>
      <c r="L62" s="149"/>
      <c r="M62" s="150">
        <v>160.72</v>
      </c>
      <c r="N62" s="151">
        <f t="shared" si="8"/>
        <v>0</v>
      </c>
    </row>
    <row r="63" spans="7:14" x14ac:dyDescent="0.5">
      <c r="G63" s="7"/>
      <c r="H63" s="83" t="s">
        <v>168</v>
      </c>
      <c r="I63" s="137">
        <v>1716</v>
      </c>
      <c r="J63" s="84" t="s">
        <v>31</v>
      </c>
      <c r="K63" s="148" t="s">
        <v>140</v>
      </c>
      <c r="L63" s="149"/>
      <c r="M63" s="150"/>
      <c r="N63" s="151">
        <f t="shared" si="8"/>
        <v>0</v>
      </c>
    </row>
    <row r="64" spans="7:14" x14ac:dyDescent="0.5">
      <c r="G64" s="7"/>
      <c r="H64" s="83" t="s">
        <v>168</v>
      </c>
      <c r="I64" s="138">
        <v>1717</v>
      </c>
      <c r="J64" s="84" t="s">
        <v>163</v>
      </c>
      <c r="K64" s="148" t="s">
        <v>146</v>
      </c>
      <c r="L64" s="149"/>
      <c r="M64" s="150"/>
      <c r="N64" s="151">
        <f t="shared" si="8"/>
        <v>0</v>
      </c>
    </row>
    <row r="65" spans="2:14" x14ac:dyDescent="0.5">
      <c r="G65" s="7"/>
      <c r="H65" s="83" t="s">
        <v>168</v>
      </c>
      <c r="I65" s="138">
        <v>1718</v>
      </c>
      <c r="J65" s="84" t="s">
        <v>162</v>
      </c>
      <c r="K65" s="148" t="s">
        <v>146</v>
      </c>
      <c r="L65" s="149"/>
      <c r="M65" s="150"/>
      <c r="N65" s="151">
        <f t="shared" si="8"/>
        <v>0</v>
      </c>
    </row>
    <row r="66" spans="2:14" x14ac:dyDescent="0.5">
      <c r="G66" s="7"/>
      <c r="H66" s="83" t="s">
        <v>168</v>
      </c>
      <c r="I66" s="137">
        <v>1719</v>
      </c>
      <c r="J66" s="84" t="s">
        <v>74</v>
      </c>
      <c r="K66" s="148" t="s">
        <v>146</v>
      </c>
      <c r="L66" s="149"/>
      <c r="M66" s="150">
        <v>65.11</v>
      </c>
      <c r="N66" s="151">
        <f t="shared" si="8"/>
        <v>0</v>
      </c>
    </row>
    <row r="67" spans="2:14" x14ac:dyDescent="0.5">
      <c r="G67" s="7"/>
      <c r="H67" s="83" t="s">
        <v>168</v>
      </c>
      <c r="I67" s="137">
        <v>1720</v>
      </c>
      <c r="J67" s="84" t="s">
        <v>82</v>
      </c>
      <c r="K67" s="148" t="s">
        <v>136</v>
      </c>
      <c r="L67" s="149"/>
      <c r="M67" s="150"/>
      <c r="N67" s="151">
        <f t="shared" si="8"/>
        <v>0</v>
      </c>
    </row>
    <row r="68" spans="2:14" x14ac:dyDescent="0.5">
      <c r="G68" s="7"/>
      <c r="H68" s="83" t="s">
        <v>168</v>
      </c>
      <c r="I68" s="137">
        <v>1721</v>
      </c>
      <c r="J68" s="84" t="s">
        <v>81</v>
      </c>
      <c r="K68" s="148" t="s">
        <v>133</v>
      </c>
      <c r="L68" s="149"/>
      <c r="M68" s="150">
        <v>40.020000000000003</v>
      </c>
      <c r="N68" s="151">
        <f t="shared" si="8"/>
        <v>0</v>
      </c>
    </row>
    <row r="69" spans="2:14" x14ac:dyDescent="0.5">
      <c r="G69" s="7"/>
      <c r="H69" s="83" t="s">
        <v>168</v>
      </c>
      <c r="I69" s="137">
        <v>9019</v>
      </c>
      <c r="J69" s="84" t="s">
        <v>76</v>
      </c>
      <c r="K69" s="148" t="s">
        <v>133</v>
      </c>
      <c r="L69" s="149"/>
      <c r="M69" s="150"/>
      <c r="N69" s="151">
        <f t="shared" si="8"/>
        <v>0</v>
      </c>
    </row>
    <row r="70" spans="2:14" x14ac:dyDescent="0.5">
      <c r="G70" s="7"/>
      <c r="H70" s="83" t="s">
        <v>3</v>
      </c>
      <c r="I70" s="137">
        <v>196217</v>
      </c>
      <c r="J70" s="84" t="s">
        <v>18</v>
      </c>
      <c r="K70" s="148" t="s">
        <v>136</v>
      </c>
      <c r="L70" s="149"/>
      <c r="M70" s="150"/>
      <c r="N70" s="151">
        <f t="shared" si="8"/>
        <v>0</v>
      </c>
    </row>
    <row r="71" spans="2:14" x14ac:dyDescent="0.5">
      <c r="G71" s="7"/>
      <c r="H71" s="83" t="s">
        <v>3</v>
      </c>
      <c r="I71" s="137">
        <v>196201</v>
      </c>
      <c r="J71" s="84" t="s">
        <v>10</v>
      </c>
      <c r="K71" s="148" t="s">
        <v>138</v>
      </c>
      <c r="L71" s="149"/>
      <c r="M71" s="150">
        <v>54.51</v>
      </c>
      <c r="N71" s="151">
        <f t="shared" si="8"/>
        <v>0</v>
      </c>
    </row>
    <row r="72" spans="2:14" x14ac:dyDescent="0.5">
      <c r="B72" s="1"/>
      <c r="G72" s="7"/>
      <c r="H72" s="83" t="s">
        <v>3</v>
      </c>
      <c r="I72" s="137">
        <v>196202</v>
      </c>
      <c r="J72" s="84" t="s">
        <v>8</v>
      </c>
      <c r="K72" s="148" t="s">
        <v>133</v>
      </c>
      <c r="L72" s="149"/>
      <c r="M72" s="150">
        <v>13.7</v>
      </c>
      <c r="N72" s="151">
        <f t="shared" si="8"/>
        <v>0</v>
      </c>
    </row>
    <row r="73" spans="2:14" x14ac:dyDescent="0.5">
      <c r="B73" s="1"/>
      <c r="G73" s="7"/>
      <c r="H73" s="83" t="s">
        <v>3</v>
      </c>
      <c r="I73" s="137">
        <v>196203</v>
      </c>
      <c r="J73" s="84" t="s">
        <v>9</v>
      </c>
      <c r="K73" s="148" t="s">
        <v>133</v>
      </c>
      <c r="L73" s="149"/>
      <c r="M73" s="150">
        <v>92.44</v>
      </c>
      <c r="N73" s="151">
        <f t="shared" si="8"/>
        <v>0</v>
      </c>
    </row>
    <row r="74" spans="2:14" x14ac:dyDescent="0.5">
      <c r="B74" s="1"/>
      <c r="G74" s="7"/>
      <c r="H74" s="83" t="s">
        <v>3</v>
      </c>
      <c r="I74" s="137">
        <v>196204</v>
      </c>
      <c r="J74" s="84" t="s">
        <v>14</v>
      </c>
      <c r="K74" s="148" t="s">
        <v>135</v>
      </c>
      <c r="L74" s="149"/>
      <c r="M74" s="150">
        <v>63.9</v>
      </c>
      <c r="N74" s="151">
        <f t="shared" si="8"/>
        <v>0</v>
      </c>
    </row>
    <row r="75" spans="2:14" x14ac:dyDescent="0.5">
      <c r="B75" s="1"/>
      <c r="G75" s="7"/>
      <c r="H75" s="83" t="s">
        <v>3</v>
      </c>
      <c r="I75" s="137">
        <v>196205</v>
      </c>
      <c r="J75" s="84" t="s">
        <v>11</v>
      </c>
      <c r="K75" s="148" t="s">
        <v>133</v>
      </c>
      <c r="L75" s="149"/>
      <c r="M75" s="150">
        <v>39</v>
      </c>
      <c r="N75" s="151">
        <f t="shared" si="8"/>
        <v>0</v>
      </c>
    </row>
    <row r="76" spans="2:14" x14ac:dyDescent="0.5">
      <c r="B76" s="1"/>
      <c r="G76" s="7"/>
      <c r="H76" s="83" t="s">
        <v>3</v>
      </c>
      <c r="I76" s="137">
        <v>196206</v>
      </c>
      <c r="J76" s="84" t="s">
        <v>12</v>
      </c>
      <c r="K76" s="148" t="s">
        <v>135</v>
      </c>
      <c r="L76" s="149"/>
      <c r="M76" s="150">
        <v>54.51</v>
      </c>
      <c r="N76" s="151">
        <f t="shared" si="8"/>
        <v>0</v>
      </c>
    </row>
    <row r="77" spans="2:14" x14ac:dyDescent="0.5">
      <c r="B77" s="1"/>
      <c r="G77" s="7"/>
      <c r="H77" s="83" t="s">
        <v>3</v>
      </c>
      <c r="I77" s="137">
        <v>196207</v>
      </c>
      <c r="J77" s="84" t="s">
        <v>15</v>
      </c>
      <c r="K77" s="148" t="s">
        <v>136</v>
      </c>
      <c r="L77" s="149"/>
      <c r="M77" s="150"/>
      <c r="N77" s="151">
        <f t="shared" ref="N77:N108" si="9">L77*M77</f>
        <v>0</v>
      </c>
    </row>
    <row r="78" spans="2:14" x14ac:dyDescent="0.5">
      <c r="B78" s="1"/>
      <c r="G78" s="7"/>
      <c r="H78" s="83" t="s">
        <v>3</v>
      </c>
      <c r="I78" s="137">
        <v>196209</v>
      </c>
      <c r="J78" s="84" t="s">
        <v>25</v>
      </c>
      <c r="K78" s="148" t="s">
        <v>136</v>
      </c>
      <c r="L78" s="149"/>
      <c r="M78" s="150"/>
      <c r="N78" s="151">
        <f t="shared" si="9"/>
        <v>0</v>
      </c>
    </row>
    <row r="79" spans="2:14" x14ac:dyDescent="0.5">
      <c r="B79" s="1"/>
      <c r="G79" s="7"/>
      <c r="H79" s="83" t="s">
        <v>3</v>
      </c>
      <c r="I79" s="137">
        <v>196210</v>
      </c>
      <c r="J79" s="84" t="s">
        <v>13</v>
      </c>
      <c r="K79" s="148" t="s">
        <v>138</v>
      </c>
      <c r="L79" s="149"/>
      <c r="M79" s="150">
        <v>54.51</v>
      </c>
      <c r="N79" s="151">
        <f t="shared" si="9"/>
        <v>0</v>
      </c>
    </row>
    <row r="80" spans="2:14" x14ac:dyDescent="0.5">
      <c r="B80" s="1"/>
      <c r="G80" s="7"/>
      <c r="H80" s="83" t="s">
        <v>3</v>
      </c>
      <c r="I80" s="137">
        <v>196211</v>
      </c>
      <c r="J80" s="84" t="s">
        <v>17</v>
      </c>
      <c r="K80" s="148" t="s">
        <v>133</v>
      </c>
      <c r="L80" s="149"/>
      <c r="M80" s="150">
        <v>13.7</v>
      </c>
      <c r="N80" s="151">
        <f t="shared" si="9"/>
        <v>0</v>
      </c>
    </row>
    <row r="81" spans="2:14" x14ac:dyDescent="0.5">
      <c r="B81" s="1"/>
      <c r="G81" s="7"/>
      <c r="H81" s="83" t="s">
        <v>3</v>
      </c>
      <c r="I81" s="137">
        <v>196212</v>
      </c>
      <c r="J81" s="84" t="s">
        <v>19</v>
      </c>
      <c r="K81" s="148" t="s">
        <v>133</v>
      </c>
      <c r="L81" s="149"/>
      <c r="M81" s="150">
        <v>92.44</v>
      </c>
      <c r="N81" s="151">
        <f t="shared" si="9"/>
        <v>0</v>
      </c>
    </row>
    <row r="82" spans="2:14" x14ac:dyDescent="0.5">
      <c r="B82" s="1"/>
      <c r="G82" s="7"/>
      <c r="H82" s="83" t="s">
        <v>3</v>
      </c>
      <c r="I82" s="137">
        <v>196213</v>
      </c>
      <c r="J82" s="84" t="s">
        <v>28</v>
      </c>
      <c r="K82" s="148" t="s">
        <v>135</v>
      </c>
      <c r="L82" s="149"/>
      <c r="M82" s="150">
        <v>63.9</v>
      </c>
      <c r="N82" s="151">
        <f t="shared" si="9"/>
        <v>0</v>
      </c>
    </row>
    <row r="83" spans="2:14" x14ac:dyDescent="0.5">
      <c r="B83" s="1"/>
      <c r="G83" s="7"/>
      <c r="H83" s="83" t="s">
        <v>3</v>
      </c>
      <c r="I83" s="137">
        <v>196214</v>
      </c>
      <c r="J83" s="84" t="s">
        <v>26</v>
      </c>
      <c r="K83" s="148" t="s">
        <v>133</v>
      </c>
      <c r="L83" s="149"/>
      <c r="M83" s="150">
        <v>39</v>
      </c>
      <c r="N83" s="151">
        <f t="shared" si="9"/>
        <v>0</v>
      </c>
    </row>
    <row r="84" spans="2:14" x14ac:dyDescent="0.5">
      <c r="B84" s="1"/>
      <c r="G84" s="7"/>
      <c r="H84" s="83" t="s">
        <v>3</v>
      </c>
      <c r="I84" s="137">
        <v>196215</v>
      </c>
      <c r="J84" s="84" t="s">
        <v>22</v>
      </c>
      <c r="K84" s="148" t="s">
        <v>135</v>
      </c>
      <c r="L84" s="149"/>
      <c r="M84" s="150">
        <v>54.51</v>
      </c>
      <c r="N84" s="151">
        <f t="shared" si="9"/>
        <v>0</v>
      </c>
    </row>
    <row r="85" spans="2:14" x14ac:dyDescent="0.5">
      <c r="B85" s="1"/>
      <c r="G85" s="7"/>
      <c r="H85" s="83" t="s">
        <v>3</v>
      </c>
      <c r="I85" s="137">
        <v>196219</v>
      </c>
      <c r="J85" s="84" t="s">
        <v>29</v>
      </c>
      <c r="K85" s="148" t="s">
        <v>140</v>
      </c>
      <c r="L85" s="149"/>
      <c r="M85" s="150"/>
      <c r="N85" s="151">
        <f t="shared" si="9"/>
        <v>0</v>
      </c>
    </row>
    <row r="86" spans="2:14" x14ac:dyDescent="0.5">
      <c r="B86" s="1"/>
      <c r="G86" s="7"/>
      <c r="H86" s="83" t="s">
        <v>3</v>
      </c>
      <c r="I86" s="137">
        <v>196220</v>
      </c>
      <c r="J86" s="84" t="s">
        <v>27</v>
      </c>
      <c r="K86" s="148" t="s">
        <v>140</v>
      </c>
      <c r="L86" s="149"/>
      <c r="M86" s="150"/>
      <c r="N86" s="151">
        <f t="shared" si="9"/>
        <v>0</v>
      </c>
    </row>
    <row r="87" spans="2:14" x14ac:dyDescent="0.5">
      <c r="B87" s="1"/>
      <c r="G87" s="7"/>
      <c r="H87" s="83" t="s">
        <v>3</v>
      </c>
      <c r="I87" s="137">
        <v>196226</v>
      </c>
      <c r="J87" s="84" t="s">
        <v>16</v>
      </c>
      <c r="K87" s="148" t="s">
        <v>140</v>
      </c>
      <c r="L87" s="149"/>
      <c r="M87" s="150"/>
      <c r="N87" s="151">
        <f t="shared" si="9"/>
        <v>0</v>
      </c>
    </row>
    <row r="88" spans="2:14" x14ac:dyDescent="0.5">
      <c r="B88" s="1"/>
      <c r="G88" s="7"/>
      <c r="H88" s="83" t="s">
        <v>3</v>
      </c>
      <c r="I88" s="137">
        <v>196227</v>
      </c>
      <c r="J88" s="84" t="s">
        <v>23</v>
      </c>
      <c r="K88" s="148" t="s">
        <v>138</v>
      </c>
      <c r="L88" s="149"/>
      <c r="M88" s="150"/>
      <c r="N88" s="151">
        <f t="shared" si="9"/>
        <v>0</v>
      </c>
    </row>
    <row r="89" spans="2:14" x14ac:dyDescent="0.5">
      <c r="B89" s="1"/>
      <c r="G89" s="7"/>
      <c r="H89" s="83" t="s">
        <v>3</v>
      </c>
      <c r="I89" s="137">
        <v>196228</v>
      </c>
      <c r="J89" s="84" t="s">
        <v>24</v>
      </c>
      <c r="K89" s="148" t="s">
        <v>136</v>
      </c>
      <c r="L89" s="149"/>
      <c r="M89" s="150"/>
      <c r="N89" s="151">
        <f t="shared" si="9"/>
        <v>0</v>
      </c>
    </row>
    <row r="90" spans="2:14" x14ac:dyDescent="0.5">
      <c r="B90" s="1"/>
      <c r="G90" s="7"/>
      <c r="H90" s="83" t="s">
        <v>3</v>
      </c>
      <c r="I90" s="137">
        <v>196230</v>
      </c>
      <c r="J90" s="84" t="s">
        <v>32</v>
      </c>
      <c r="K90" s="148" t="s">
        <v>138</v>
      </c>
      <c r="L90" s="149"/>
      <c r="M90" s="150"/>
      <c r="N90" s="151">
        <f t="shared" si="9"/>
        <v>0</v>
      </c>
    </row>
    <row r="91" spans="2:14" x14ac:dyDescent="0.5">
      <c r="B91" s="1"/>
      <c r="G91" s="7"/>
      <c r="H91" s="83" t="s">
        <v>3</v>
      </c>
      <c r="I91" s="138">
        <v>196233</v>
      </c>
      <c r="J91" s="84" t="s">
        <v>148</v>
      </c>
      <c r="K91" s="148" t="s">
        <v>138</v>
      </c>
      <c r="L91" s="149"/>
      <c r="M91" s="150">
        <v>54.51</v>
      </c>
      <c r="N91" s="151">
        <f t="shared" si="9"/>
        <v>0</v>
      </c>
    </row>
    <row r="92" spans="2:14" x14ac:dyDescent="0.5">
      <c r="B92" s="1"/>
      <c r="G92" s="7"/>
      <c r="H92" s="83" t="s">
        <v>3</v>
      </c>
      <c r="I92" s="137">
        <v>196234</v>
      </c>
      <c r="J92" s="84" t="s">
        <v>33</v>
      </c>
      <c r="K92" s="148" t="s">
        <v>138</v>
      </c>
      <c r="L92" s="149"/>
      <c r="M92" s="150">
        <v>54.51</v>
      </c>
      <c r="N92" s="151">
        <f t="shared" si="9"/>
        <v>0</v>
      </c>
    </row>
    <row r="93" spans="2:14" x14ac:dyDescent="0.5">
      <c r="B93" s="1"/>
      <c r="G93" s="7"/>
      <c r="H93" s="83" t="s">
        <v>3</v>
      </c>
      <c r="I93" s="137">
        <v>196235</v>
      </c>
      <c r="J93" s="84" t="s">
        <v>20</v>
      </c>
      <c r="K93" s="148" t="s">
        <v>138</v>
      </c>
      <c r="L93" s="149"/>
      <c r="M93" s="150">
        <v>54.51</v>
      </c>
      <c r="N93" s="151">
        <f t="shared" si="9"/>
        <v>0</v>
      </c>
    </row>
    <row r="94" spans="2:14" x14ac:dyDescent="0.5">
      <c r="B94" s="1"/>
      <c r="G94" s="7"/>
      <c r="H94" s="83" t="s">
        <v>3</v>
      </c>
      <c r="I94" s="137">
        <v>196236</v>
      </c>
      <c r="J94" s="84" t="s">
        <v>34</v>
      </c>
      <c r="K94" s="148" t="s">
        <v>138</v>
      </c>
      <c r="L94" s="149"/>
      <c r="M94" s="150">
        <v>54.51</v>
      </c>
      <c r="N94" s="151">
        <f t="shared" si="9"/>
        <v>0</v>
      </c>
    </row>
    <row r="95" spans="2:14" ht="34" x14ac:dyDescent="0.5">
      <c r="B95" s="1"/>
      <c r="G95" s="7"/>
      <c r="H95" s="83" t="s">
        <v>130</v>
      </c>
      <c r="I95" s="137">
        <v>37510</v>
      </c>
      <c r="J95" s="84" t="s">
        <v>111</v>
      </c>
      <c r="K95" s="148" t="s">
        <v>133</v>
      </c>
      <c r="L95" s="149"/>
      <c r="M95" s="151"/>
      <c r="N95" s="151">
        <f t="shared" si="9"/>
        <v>0</v>
      </c>
    </row>
    <row r="96" spans="2:14" x14ac:dyDescent="0.5">
      <c r="B96" s="1"/>
      <c r="G96" s="7"/>
      <c r="H96" s="83" t="s">
        <v>130</v>
      </c>
      <c r="I96" s="137">
        <v>37512</v>
      </c>
      <c r="J96" s="84" t="s">
        <v>120</v>
      </c>
      <c r="K96" s="148" t="s">
        <v>133</v>
      </c>
      <c r="L96" s="149"/>
      <c r="M96" s="151"/>
      <c r="N96" s="151">
        <f t="shared" si="9"/>
        <v>0</v>
      </c>
    </row>
    <row r="97" spans="2:14" x14ac:dyDescent="0.5">
      <c r="B97" s="1"/>
      <c r="G97" s="7"/>
      <c r="H97" s="83" t="s">
        <v>130</v>
      </c>
      <c r="I97" s="137">
        <v>37514</v>
      </c>
      <c r="J97" s="84" t="s">
        <v>121</v>
      </c>
      <c r="K97" s="148" t="s">
        <v>133</v>
      </c>
      <c r="L97" s="149"/>
      <c r="M97" s="151"/>
      <c r="N97" s="151">
        <f t="shared" si="9"/>
        <v>0</v>
      </c>
    </row>
    <row r="98" spans="2:14" x14ac:dyDescent="0.5">
      <c r="B98" s="1"/>
      <c r="G98" s="7"/>
      <c r="H98" s="83" t="s">
        <v>130</v>
      </c>
      <c r="I98" s="137">
        <v>37516</v>
      </c>
      <c r="J98" s="84" t="s">
        <v>123</v>
      </c>
      <c r="K98" s="148" t="s">
        <v>133</v>
      </c>
      <c r="L98" s="149"/>
      <c r="M98" s="151"/>
      <c r="N98" s="151">
        <f t="shared" si="9"/>
        <v>0</v>
      </c>
    </row>
    <row r="99" spans="2:14" x14ac:dyDescent="0.5">
      <c r="B99" s="1"/>
      <c r="G99" s="7"/>
      <c r="H99" s="83" t="s">
        <v>130</v>
      </c>
      <c r="I99" s="137">
        <v>37521</v>
      </c>
      <c r="J99" s="84" t="s">
        <v>100</v>
      </c>
      <c r="K99" s="148" t="s">
        <v>133</v>
      </c>
      <c r="L99" s="149"/>
      <c r="M99" s="151"/>
      <c r="N99" s="151">
        <f t="shared" si="9"/>
        <v>0</v>
      </c>
    </row>
    <row r="100" spans="2:14" x14ac:dyDescent="0.5">
      <c r="B100" s="1"/>
      <c r="G100" s="7"/>
      <c r="H100" s="83" t="s">
        <v>130</v>
      </c>
      <c r="I100" s="137">
        <v>39485</v>
      </c>
      <c r="J100" s="84" t="s">
        <v>117</v>
      </c>
      <c r="K100" s="148" t="s">
        <v>133</v>
      </c>
      <c r="L100" s="149"/>
      <c r="M100" s="151"/>
      <c r="N100" s="151">
        <f t="shared" si="9"/>
        <v>0</v>
      </c>
    </row>
    <row r="101" spans="2:14" x14ac:dyDescent="0.5">
      <c r="B101" s="1"/>
      <c r="G101" s="7"/>
      <c r="H101" s="83" t="s">
        <v>130</v>
      </c>
      <c r="I101" s="137">
        <v>190032</v>
      </c>
      <c r="J101" s="84" t="s">
        <v>113</v>
      </c>
      <c r="K101" s="148" t="s">
        <v>140</v>
      </c>
      <c r="L101" s="149"/>
      <c r="M101" s="151"/>
      <c r="N101" s="151">
        <f t="shared" si="9"/>
        <v>0</v>
      </c>
    </row>
    <row r="102" spans="2:14" x14ac:dyDescent="0.5">
      <c r="B102" s="1"/>
      <c r="G102" s="7"/>
      <c r="H102" s="83" t="s">
        <v>130</v>
      </c>
      <c r="I102" s="137">
        <v>190033</v>
      </c>
      <c r="J102" s="84" t="s">
        <v>92</v>
      </c>
      <c r="K102" s="148" t="s">
        <v>140</v>
      </c>
      <c r="L102" s="149"/>
      <c r="M102" s="151"/>
      <c r="N102" s="151">
        <f t="shared" si="9"/>
        <v>0</v>
      </c>
    </row>
    <row r="103" spans="2:14" x14ac:dyDescent="0.5">
      <c r="B103" s="1"/>
      <c r="G103" s="7"/>
      <c r="H103" s="83" t="s">
        <v>130</v>
      </c>
      <c r="I103" s="137">
        <v>190043</v>
      </c>
      <c r="J103" s="84" t="s">
        <v>93</v>
      </c>
      <c r="K103" s="148" t="s">
        <v>136</v>
      </c>
      <c r="L103" s="149"/>
      <c r="M103" s="151"/>
      <c r="N103" s="151">
        <f t="shared" si="9"/>
        <v>0</v>
      </c>
    </row>
    <row r="104" spans="2:14" x14ac:dyDescent="0.5">
      <c r="B104" s="1"/>
      <c r="G104" s="7"/>
      <c r="H104" s="83" t="s">
        <v>130</v>
      </c>
      <c r="I104" s="137">
        <v>190044</v>
      </c>
      <c r="J104" s="84" t="s">
        <v>116</v>
      </c>
      <c r="K104" s="148" t="s">
        <v>136</v>
      </c>
      <c r="L104" s="149"/>
      <c r="M104" s="151"/>
      <c r="N104" s="151">
        <f t="shared" si="9"/>
        <v>0</v>
      </c>
    </row>
    <row r="105" spans="2:14" x14ac:dyDescent="0.5">
      <c r="B105" s="1"/>
      <c r="G105" s="7"/>
      <c r="H105" s="83" t="s">
        <v>130</v>
      </c>
      <c r="I105" s="137">
        <v>190045</v>
      </c>
      <c r="J105" s="84" t="s">
        <v>96</v>
      </c>
      <c r="K105" s="148" t="s">
        <v>135</v>
      </c>
      <c r="L105" s="149"/>
      <c r="M105" s="151"/>
      <c r="N105" s="151">
        <f t="shared" si="9"/>
        <v>0</v>
      </c>
    </row>
    <row r="106" spans="2:14" x14ac:dyDescent="0.5">
      <c r="B106" s="1"/>
      <c r="G106" s="7"/>
      <c r="H106" s="83" t="s">
        <v>130</v>
      </c>
      <c r="I106" s="137">
        <v>190046</v>
      </c>
      <c r="J106" s="84" t="s">
        <v>122</v>
      </c>
      <c r="K106" s="148" t="s">
        <v>135</v>
      </c>
      <c r="L106" s="149"/>
      <c r="M106" s="151"/>
      <c r="N106" s="151">
        <f t="shared" si="9"/>
        <v>0</v>
      </c>
    </row>
    <row r="107" spans="2:14" x14ac:dyDescent="0.5">
      <c r="B107" s="1"/>
      <c r="G107" s="7"/>
      <c r="H107" s="83" t="s">
        <v>130</v>
      </c>
      <c r="I107" s="137">
        <v>190047</v>
      </c>
      <c r="J107" s="84" t="s">
        <v>119</v>
      </c>
      <c r="K107" s="148" t="s">
        <v>135</v>
      </c>
      <c r="L107" s="149"/>
      <c r="M107" s="151"/>
      <c r="N107" s="151">
        <f t="shared" si="9"/>
        <v>0</v>
      </c>
    </row>
    <row r="108" spans="2:14" x14ac:dyDescent="0.5">
      <c r="B108" s="1"/>
      <c r="G108" s="7"/>
      <c r="H108" s="83" t="s">
        <v>130</v>
      </c>
      <c r="I108" s="137">
        <v>190048</v>
      </c>
      <c r="J108" s="84" t="s">
        <v>118</v>
      </c>
      <c r="K108" s="148" t="s">
        <v>135</v>
      </c>
      <c r="L108" s="149"/>
      <c r="M108" s="151"/>
      <c r="N108" s="151">
        <f t="shared" si="9"/>
        <v>0</v>
      </c>
    </row>
    <row r="109" spans="2:14" x14ac:dyDescent="0.5">
      <c r="B109" s="1"/>
      <c r="G109" s="7"/>
      <c r="H109" s="83" t="s">
        <v>130</v>
      </c>
      <c r="I109" s="137">
        <v>150101002</v>
      </c>
      <c r="J109" s="84" t="s">
        <v>106</v>
      </c>
      <c r="K109" s="152" t="s">
        <v>141</v>
      </c>
      <c r="L109" s="149"/>
      <c r="M109" s="151">
        <v>4200</v>
      </c>
      <c r="N109" s="151">
        <f t="shared" ref="N109:N137" si="10">L109*M109</f>
        <v>0</v>
      </c>
    </row>
    <row r="110" spans="2:14" x14ac:dyDescent="0.5">
      <c r="B110" s="1"/>
      <c r="G110" s="7"/>
      <c r="H110" s="83" t="s">
        <v>130</v>
      </c>
      <c r="I110" s="137">
        <v>150101003</v>
      </c>
      <c r="J110" s="84" t="s">
        <v>112</v>
      </c>
      <c r="K110" s="152" t="s">
        <v>141</v>
      </c>
      <c r="L110" s="149"/>
      <c r="M110" s="151">
        <v>680</v>
      </c>
      <c r="N110" s="151">
        <f t="shared" si="10"/>
        <v>0</v>
      </c>
    </row>
    <row r="111" spans="2:14" x14ac:dyDescent="0.5">
      <c r="G111" s="7"/>
      <c r="H111" s="83" t="s">
        <v>130</v>
      </c>
      <c r="I111" s="137">
        <v>150101004</v>
      </c>
      <c r="J111" s="84" t="s">
        <v>97</v>
      </c>
      <c r="K111" s="152" t="s">
        <v>141</v>
      </c>
      <c r="L111" s="149"/>
      <c r="M111" s="151">
        <v>1980</v>
      </c>
      <c r="N111" s="151">
        <f t="shared" si="10"/>
        <v>0</v>
      </c>
    </row>
    <row r="112" spans="2:14" x14ac:dyDescent="0.5">
      <c r="G112" s="7"/>
      <c r="H112" s="83" t="s">
        <v>130</v>
      </c>
      <c r="I112" s="137">
        <v>150101006</v>
      </c>
      <c r="J112" s="84" t="s">
        <v>94</v>
      </c>
      <c r="K112" s="152" t="s">
        <v>141</v>
      </c>
      <c r="L112" s="149"/>
      <c r="M112" s="151">
        <v>1990</v>
      </c>
      <c r="N112" s="151">
        <f t="shared" si="10"/>
        <v>0</v>
      </c>
    </row>
    <row r="113" spans="7:14" x14ac:dyDescent="0.5">
      <c r="G113" s="7"/>
      <c r="H113" s="83" t="s">
        <v>130</v>
      </c>
      <c r="I113" s="137">
        <v>150101007</v>
      </c>
      <c r="J113" s="84" t="s">
        <v>99</v>
      </c>
      <c r="K113" s="152" t="s">
        <v>141</v>
      </c>
      <c r="L113" s="149"/>
      <c r="M113" s="151">
        <v>635</v>
      </c>
      <c r="N113" s="151">
        <f t="shared" si="10"/>
        <v>0</v>
      </c>
    </row>
    <row r="114" spans="7:14" x14ac:dyDescent="0.5">
      <c r="G114" s="7"/>
      <c r="H114" s="83" t="s">
        <v>130</v>
      </c>
      <c r="I114" s="137">
        <v>150101009</v>
      </c>
      <c r="J114" s="84" t="s">
        <v>104</v>
      </c>
      <c r="K114" s="152" t="s">
        <v>141</v>
      </c>
      <c r="L114" s="149"/>
      <c r="M114" s="151">
        <v>5965</v>
      </c>
      <c r="N114" s="151">
        <f t="shared" si="10"/>
        <v>0</v>
      </c>
    </row>
    <row r="115" spans="7:14" x14ac:dyDescent="0.5">
      <c r="G115" s="7"/>
      <c r="H115" s="83" t="s">
        <v>130</v>
      </c>
      <c r="I115" s="137">
        <v>150101011</v>
      </c>
      <c r="J115" s="84" t="s">
        <v>95</v>
      </c>
      <c r="K115" s="152" t="s">
        <v>141</v>
      </c>
      <c r="L115" s="149"/>
      <c r="M115" s="151">
        <v>275</v>
      </c>
      <c r="N115" s="151">
        <f t="shared" si="10"/>
        <v>0</v>
      </c>
    </row>
    <row r="116" spans="7:14" x14ac:dyDescent="0.5">
      <c r="G116" s="7"/>
      <c r="H116" s="83" t="s">
        <v>130</v>
      </c>
      <c r="I116" s="137">
        <v>159899004</v>
      </c>
      <c r="J116" s="84" t="s">
        <v>109</v>
      </c>
      <c r="K116" s="148" t="s">
        <v>139</v>
      </c>
      <c r="L116" s="149"/>
      <c r="M116" s="151">
        <v>10515</v>
      </c>
      <c r="N116" s="151">
        <f t="shared" si="10"/>
        <v>0</v>
      </c>
    </row>
    <row r="117" spans="7:14" x14ac:dyDescent="0.5">
      <c r="G117" s="7"/>
      <c r="H117" s="83" t="s">
        <v>130</v>
      </c>
      <c r="I117" s="137">
        <v>159899007</v>
      </c>
      <c r="J117" s="84" t="s">
        <v>87</v>
      </c>
      <c r="K117" s="148" t="s">
        <v>139</v>
      </c>
      <c r="L117" s="149"/>
      <c r="M117" s="151">
        <v>4605</v>
      </c>
      <c r="N117" s="151">
        <f t="shared" si="10"/>
        <v>0</v>
      </c>
    </row>
    <row r="118" spans="7:14" x14ac:dyDescent="0.5">
      <c r="G118" s="7"/>
      <c r="H118" s="83" t="s">
        <v>130</v>
      </c>
      <c r="I118" s="137">
        <v>159899008</v>
      </c>
      <c r="J118" s="84" t="s">
        <v>105</v>
      </c>
      <c r="K118" s="148" t="s">
        <v>140</v>
      </c>
      <c r="L118" s="149"/>
      <c r="M118" s="151">
        <v>1535</v>
      </c>
      <c r="N118" s="151">
        <f t="shared" si="10"/>
        <v>0</v>
      </c>
    </row>
    <row r="119" spans="7:14" x14ac:dyDescent="0.5">
      <c r="G119" s="7"/>
      <c r="H119" s="83" t="s">
        <v>130</v>
      </c>
      <c r="I119" s="137">
        <v>159899010</v>
      </c>
      <c r="J119" s="84" t="s">
        <v>101</v>
      </c>
      <c r="K119" s="148" t="s">
        <v>139</v>
      </c>
      <c r="L119" s="149"/>
      <c r="M119" s="151">
        <v>4670</v>
      </c>
      <c r="N119" s="151">
        <f t="shared" si="10"/>
        <v>0</v>
      </c>
    </row>
    <row r="120" spans="7:14" x14ac:dyDescent="0.5">
      <c r="G120" s="7"/>
      <c r="H120" s="83" t="s">
        <v>130</v>
      </c>
      <c r="I120" s="137">
        <v>159899012</v>
      </c>
      <c r="J120" s="84" t="s">
        <v>110</v>
      </c>
      <c r="K120" s="148" t="s">
        <v>137</v>
      </c>
      <c r="L120" s="149"/>
      <c r="M120" s="151">
        <v>4120</v>
      </c>
      <c r="N120" s="151">
        <f t="shared" si="10"/>
        <v>0</v>
      </c>
    </row>
    <row r="121" spans="7:14" ht="34" x14ac:dyDescent="0.5">
      <c r="G121" s="7"/>
      <c r="H121" s="83" t="s">
        <v>130</v>
      </c>
      <c r="I121" s="137">
        <v>159899013</v>
      </c>
      <c r="J121" s="84" t="s">
        <v>114</v>
      </c>
      <c r="K121" s="148" t="s">
        <v>137</v>
      </c>
      <c r="L121" s="149"/>
      <c r="M121" s="151"/>
      <c r="N121" s="151">
        <f t="shared" si="10"/>
        <v>0</v>
      </c>
    </row>
    <row r="122" spans="7:14" x14ac:dyDescent="0.5">
      <c r="G122" s="7"/>
      <c r="H122" s="83" t="s">
        <v>130</v>
      </c>
      <c r="I122" s="137">
        <v>159899014</v>
      </c>
      <c r="J122" s="84" t="s">
        <v>103</v>
      </c>
      <c r="K122" s="148" t="s">
        <v>135</v>
      </c>
      <c r="L122" s="149"/>
      <c r="M122" s="151">
        <v>3300</v>
      </c>
      <c r="N122" s="151">
        <f t="shared" si="10"/>
        <v>0</v>
      </c>
    </row>
    <row r="123" spans="7:14" ht="34" x14ac:dyDescent="0.5">
      <c r="G123" s="7"/>
      <c r="H123" s="83" t="s">
        <v>130</v>
      </c>
      <c r="I123" s="137">
        <v>159899016</v>
      </c>
      <c r="J123" s="84" t="s">
        <v>107</v>
      </c>
      <c r="K123" s="148" t="s">
        <v>137</v>
      </c>
      <c r="L123" s="149"/>
      <c r="M123" s="151">
        <v>2315</v>
      </c>
      <c r="N123" s="151">
        <f t="shared" si="10"/>
        <v>0</v>
      </c>
    </row>
    <row r="124" spans="7:14" x14ac:dyDescent="0.5">
      <c r="G124" s="7"/>
      <c r="H124" s="83" t="s">
        <v>130</v>
      </c>
      <c r="I124" s="137">
        <v>159899017</v>
      </c>
      <c r="J124" s="84" t="s">
        <v>88</v>
      </c>
      <c r="K124" s="148" t="s">
        <v>135</v>
      </c>
      <c r="L124" s="149"/>
      <c r="M124" s="151">
        <v>3005</v>
      </c>
      <c r="N124" s="151">
        <f t="shared" si="10"/>
        <v>0</v>
      </c>
    </row>
    <row r="125" spans="7:14" x14ac:dyDescent="0.5">
      <c r="G125" s="7"/>
      <c r="H125" s="83" t="s">
        <v>130</v>
      </c>
      <c r="I125" s="137">
        <v>159899019</v>
      </c>
      <c r="J125" s="84" t="s">
        <v>90</v>
      </c>
      <c r="K125" s="148" t="s">
        <v>135</v>
      </c>
      <c r="L125" s="149"/>
      <c r="M125" s="151">
        <v>2450</v>
      </c>
      <c r="N125" s="151">
        <f t="shared" si="10"/>
        <v>0</v>
      </c>
    </row>
    <row r="126" spans="7:14" x14ac:dyDescent="0.5">
      <c r="G126" s="7"/>
      <c r="H126" s="83" t="s">
        <v>130</v>
      </c>
      <c r="I126" s="137">
        <v>159899020</v>
      </c>
      <c r="J126" s="84" t="s">
        <v>89</v>
      </c>
      <c r="K126" s="148" t="s">
        <v>140</v>
      </c>
      <c r="L126" s="149"/>
      <c r="M126" s="151">
        <v>330</v>
      </c>
      <c r="N126" s="151">
        <f t="shared" si="10"/>
        <v>0</v>
      </c>
    </row>
    <row r="127" spans="7:14" x14ac:dyDescent="0.5">
      <c r="G127" s="7"/>
      <c r="H127" s="83" t="s">
        <v>130</v>
      </c>
      <c r="I127" s="137">
        <v>159999010</v>
      </c>
      <c r="J127" s="84" t="s">
        <v>115</v>
      </c>
      <c r="K127" s="148" t="s">
        <v>134</v>
      </c>
      <c r="L127" s="149"/>
      <c r="M127" s="151">
        <v>4770</v>
      </c>
      <c r="N127" s="151">
        <f t="shared" si="10"/>
        <v>0</v>
      </c>
    </row>
    <row r="128" spans="7:14" x14ac:dyDescent="0.5">
      <c r="G128" s="7"/>
      <c r="H128" s="83" t="s">
        <v>130</v>
      </c>
      <c r="I128" s="137">
        <v>159999016</v>
      </c>
      <c r="J128" s="84" t="s">
        <v>102</v>
      </c>
      <c r="K128" s="152" t="s">
        <v>141</v>
      </c>
      <c r="L128" s="149"/>
      <c r="M128" s="151">
        <v>980</v>
      </c>
      <c r="N128" s="151">
        <f t="shared" si="10"/>
        <v>0</v>
      </c>
    </row>
    <row r="129" spans="7:14" x14ac:dyDescent="0.5">
      <c r="G129" s="7"/>
      <c r="H129" s="83" t="s">
        <v>130</v>
      </c>
      <c r="I129" s="137">
        <v>159999017</v>
      </c>
      <c r="J129" s="84" t="s">
        <v>86</v>
      </c>
      <c r="K129" s="148" t="s">
        <v>133</v>
      </c>
      <c r="L129" s="149"/>
      <c r="M129" s="151">
        <v>2410</v>
      </c>
      <c r="N129" s="151">
        <f t="shared" si="10"/>
        <v>0</v>
      </c>
    </row>
    <row r="130" spans="7:14" x14ac:dyDescent="0.5">
      <c r="G130" s="7"/>
      <c r="H130" s="83" t="s">
        <v>130</v>
      </c>
      <c r="I130" s="137">
        <v>159999019</v>
      </c>
      <c r="J130" s="84" t="s">
        <v>83</v>
      </c>
      <c r="K130" s="148" t="s">
        <v>133</v>
      </c>
      <c r="L130" s="149"/>
      <c r="M130" s="151">
        <v>875</v>
      </c>
      <c r="N130" s="151">
        <f t="shared" si="10"/>
        <v>0</v>
      </c>
    </row>
    <row r="131" spans="7:14" x14ac:dyDescent="0.5">
      <c r="G131" s="7"/>
      <c r="H131" s="83" t="s">
        <v>130</v>
      </c>
      <c r="I131" s="137">
        <v>159999020</v>
      </c>
      <c r="J131" s="84" t="s">
        <v>108</v>
      </c>
      <c r="K131" s="148" t="s">
        <v>134</v>
      </c>
      <c r="L131" s="149"/>
      <c r="M131" s="151">
        <v>25630</v>
      </c>
      <c r="N131" s="151">
        <f t="shared" si="10"/>
        <v>0</v>
      </c>
    </row>
    <row r="132" spans="7:14" x14ac:dyDescent="0.5">
      <c r="G132" s="7"/>
      <c r="H132" s="83" t="s">
        <v>130</v>
      </c>
      <c r="I132" s="137">
        <v>159999021</v>
      </c>
      <c r="J132" s="84" t="s">
        <v>98</v>
      </c>
      <c r="K132" s="148" t="s">
        <v>134</v>
      </c>
      <c r="L132" s="149"/>
      <c r="M132" s="151">
        <v>7480</v>
      </c>
      <c r="N132" s="151">
        <f t="shared" si="10"/>
        <v>0</v>
      </c>
    </row>
    <row r="133" spans="7:14" x14ac:dyDescent="0.5">
      <c r="G133" s="7"/>
      <c r="H133" s="83" t="s">
        <v>130</v>
      </c>
      <c r="I133" s="137">
        <v>159999023</v>
      </c>
      <c r="J133" s="84" t="s">
        <v>91</v>
      </c>
      <c r="K133" s="148" t="s">
        <v>133</v>
      </c>
      <c r="L133" s="149"/>
      <c r="M133" s="151">
        <v>480</v>
      </c>
      <c r="N133" s="151">
        <f t="shared" si="10"/>
        <v>0</v>
      </c>
    </row>
    <row r="134" spans="7:14" x14ac:dyDescent="0.5">
      <c r="G134" s="7"/>
      <c r="H134" s="83" t="s">
        <v>130</v>
      </c>
      <c r="I134" s="137">
        <v>159999027</v>
      </c>
      <c r="J134" s="84" t="s">
        <v>85</v>
      </c>
      <c r="K134" s="148" t="s">
        <v>133</v>
      </c>
      <c r="L134" s="149"/>
      <c r="M134" s="151">
        <v>250</v>
      </c>
      <c r="N134" s="151">
        <f t="shared" si="10"/>
        <v>0</v>
      </c>
    </row>
    <row r="135" spans="7:14" x14ac:dyDescent="0.5">
      <c r="G135" s="7"/>
      <c r="H135" s="83" t="s">
        <v>130</v>
      </c>
      <c r="I135" s="137">
        <v>159999030</v>
      </c>
      <c r="J135" s="84" t="s">
        <v>84</v>
      </c>
      <c r="K135" s="148" t="s">
        <v>133</v>
      </c>
      <c r="L135" s="149"/>
      <c r="M135" s="151">
        <v>265</v>
      </c>
      <c r="N135" s="151">
        <f t="shared" si="10"/>
        <v>0</v>
      </c>
    </row>
    <row r="136" spans="7:14" x14ac:dyDescent="0.5">
      <c r="G136" s="7"/>
      <c r="H136" s="83" t="s">
        <v>130</v>
      </c>
      <c r="I136" s="137">
        <v>159999032</v>
      </c>
      <c r="J136" s="84" t="s">
        <v>125</v>
      </c>
      <c r="K136" s="148" t="s">
        <v>134</v>
      </c>
      <c r="L136" s="149"/>
      <c r="M136" s="151">
        <v>2265</v>
      </c>
      <c r="N136" s="151">
        <f t="shared" si="10"/>
        <v>0</v>
      </c>
    </row>
    <row r="137" spans="7:14" x14ac:dyDescent="0.5">
      <c r="G137" s="7"/>
      <c r="H137" s="83" t="s">
        <v>130</v>
      </c>
      <c r="I137" s="137">
        <v>159999033</v>
      </c>
      <c r="J137" s="84" t="s">
        <v>124</v>
      </c>
      <c r="K137" s="148" t="s">
        <v>133</v>
      </c>
      <c r="L137" s="149"/>
      <c r="M137" s="151">
        <v>565</v>
      </c>
      <c r="N137" s="151">
        <f t="shared" si="10"/>
        <v>0</v>
      </c>
    </row>
    <row r="138" spans="7:14" x14ac:dyDescent="0.5">
      <c r="G138" s="7"/>
    </row>
  </sheetData>
  <sheetProtection sheet="1" objects="1" scenarios="1"/>
  <conditionalFormatting sqref="F14:F22">
    <cfRule type="cellIs" dxfId="1" priority="1" operator="notEqual">
      <formula>1</formula>
    </cfRule>
  </conditionalFormatting>
  <hyperlinks>
    <hyperlink ref="A1" location="Modeltoelichting!A1" display="Modeltoelichting!A1" xr:uid="{F47AC0B5-7680-4FC0-AF61-35EDC78C9D9F}"/>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ADFB8-B7AA-452F-8054-A2D8976DB138}">
  <sheetPr>
    <tabColor theme="8"/>
  </sheetPr>
  <dimension ref="A1:AR57"/>
  <sheetViews>
    <sheetView showGridLines="0" zoomScale="80" zoomScaleNormal="80" workbookViewId="0"/>
  </sheetViews>
  <sheetFormatPr defaultRowHeight="17" x14ac:dyDescent="0.5"/>
  <cols>
    <col min="1" max="1" width="10.23046875" customWidth="1"/>
    <col min="2" max="2" width="67.53515625" bestFit="1" customWidth="1"/>
    <col min="3" max="10" width="16.84375" customWidth="1"/>
    <col min="12" max="12" width="26.69140625" customWidth="1"/>
    <col min="13" max="21" width="13.07421875" customWidth="1"/>
    <col min="23" max="23" width="25.23046875" bestFit="1" customWidth="1"/>
    <col min="24" max="32" width="13.07421875" customWidth="1"/>
    <col min="34" max="34" width="38.84375" bestFit="1" customWidth="1"/>
    <col min="35" max="44" width="13.53515625" customWidth="1"/>
  </cols>
  <sheetData>
    <row r="1" spans="1:44" ht="17.5" thickBot="1" x14ac:dyDescent="0.55000000000000004">
      <c r="A1" s="93" t="str">
        <f>HYPERLINK(Modeltoelichting!A1,"&lt;&lt;&lt;TERUG")</f>
        <v>&lt;&lt;&lt;TERUG</v>
      </c>
    </row>
    <row r="2" spans="1:44" ht="21" thickBot="1" x14ac:dyDescent="0.6">
      <c r="B2" s="3" t="s">
        <v>308</v>
      </c>
      <c r="C2" s="133" t="s">
        <v>343</v>
      </c>
      <c r="D2" s="134">
        <f>JaarModel</f>
        <v>0</v>
      </c>
      <c r="L2" s="3" t="s">
        <v>271</v>
      </c>
    </row>
    <row r="4" spans="1:44" x14ac:dyDescent="0.5">
      <c r="L4" s="62" t="s">
        <v>197</v>
      </c>
      <c r="M4" s="61"/>
      <c r="N4" s="61"/>
      <c r="O4" s="61"/>
      <c r="P4" s="61"/>
      <c r="Q4" s="61"/>
      <c r="R4" s="61"/>
      <c r="S4" s="61"/>
      <c r="T4" s="61"/>
      <c r="U4" s="61"/>
      <c r="W4" s="63" t="s">
        <v>198</v>
      </c>
      <c r="X4" s="64"/>
      <c r="Y4" s="64"/>
      <c r="Z4" s="64"/>
      <c r="AA4" s="64"/>
      <c r="AB4" s="64"/>
      <c r="AC4" s="64"/>
      <c r="AD4" s="64"/>
      <c r="AE4" s="64"/>
      <c r="AF4" s="64"/>
      <c r="AH4" s="65" t="s">
        <v>199</v>
      </c>
      <c r="AI4" s="66"/>
      <c r="AJ4" s="66"/>
      <c r="AK4" s="66"/>
      <c r="AL4" s="66"/>
      <c r="AM4" s="66"/>
      <c r="AN4" s="66"/>
      <c r="AO4" s="66"/>
      <c r="AP4" s="66"/>
      <c r="AQ4" s="66"/>
      <c r="AR4" s="66"/>
    </row>
    <row r="5" spans="1:44" x14ac:dyDescent="0.5">
      <c r="B5" s="1" t="s">
        <v>265</v>
      </c>
      <c r="J5" s="5"/>
    </row>
    <row r="6" spans="1:44" s="10" customFormat="1" ht="85" x14ac:dyDescent="0.5">
      <c r="B6" s="25" t="s">
        <v>159</v>
      </c>
      <c r="C6" s="9" t="s">
        <v>127</v>
      </c>
      <c r="D6" s="9" t="s">
        <v>143</v>
      </c>
      <c r="E6" s="9" t="s">
        <v>144</v>
      </c>
      <c r="F6" s="9" t="s">
        <v>165</v>
      </c>
      <c r="G6" s="9" t="s">
        <v>150</v>
      </c>
      <c r="H6" s="9" t="s">
        <v>295</v>
      </c>
      <c r="I6" s="9" t="s">
        <v>151</v>
      </c>
      <c r="J6" s="75" t="s">
        <v>156</v>
      </c>
      <c r="L6" s="56" t="s">
        <v>130</v>
      </c>
      <c r="M6" s="46" t="s">
        <v>141</v>
      </c>
      <c r="N6" s="46" t="s">
        <v>133</v>
      </c>
      <c r="O6" s="46" t="s">
        <v>134</v>
      </c>
      <c r="P6" s="46" t="s">
        <v>135</v>
      </c>
      <c r="Q6" s="46" t="s">
        <v>136</v>
      </c>
      <c r="R6" s="46" t="s">
        <v>139</v>
      </c>
      <c r="S6" s="46" t="s">
        <v>140</v>
      </c>
      <c r="T6" s="46" t="s">
        <v>137</v>
      </c>
      <c r="U6" s="46" t="s">
        <v>138</v>
      </c>
      <c r="W6" s="56" t="s">
        <v>130</v>
      </c>
      <c r="X6" s="46" t="s">
        <v>141</v>
      </c>
      <c r="Y6" s="46" t="s">
        <v>133</v>
      </c>
      <c r="Z6" s="46" t="s">
        <v>134</v>
      </c>
      <c r="AA6" s="46" t="s">
        <v>135</v>
      </c>
      <c r="AB6" s="46" t="s">
        <v>136</v>
      </c>
      <c r="AC6" s="46" t="s">
        <v>139</v>
      </c>
      <c r="AD6" s="46" t="s">
        <v>140</v>
      </c>
      <c r="AE6" s="46" t="s">
        <v>137</v>
      </c>
      <c r="AF6" s="46" t="s">
        <v>138</v>
      </c>
      <c r="AH6" s="56" t="s">
        <v>130</v>
      </c>
      <c r="AI6" s="46" t="s">
        <v>141</v>
      </c>
      <c r="AJ6" s="46" t="s">
        <v>133</v>
      </c>
      <c r="AK6" s="46" t="s">
        <v>134</v>
      </c>
      <c r="AL6" s="46" t="s">
        <v>135</v>
      </c>
      <c r="AM6" s="46" t="s">
        <v>136</v>
      </c>
      <c r="AN6" s="46" t="s">
        <v>139</v>
      </c>
      <c r="AO6" s="46" t="s">
        <v>140</v>
      </c>
      <c r="AP6" s="46" t="s">
        <v>137</v>
      </c>
      <c r="AQ6" s="46" t="s">
        <v>138</v>
      </c>
      <c r="AR6" s="46" t="s">
        <v>202</v>
      </c>
    </row>
    <row r="7" spans="1:44" x14ac:dyDescent="0.5">
      <c r="A7" s="10"/>
      <c r="B7" s="18" t="s">
        <v>141</v>
      </c>
      <c r="C7" s="11">
        <f>Aantal_integrale_geboortezorg_prestaties_Begeleiding_eindigend__16_wkn_zwangerschap_incl._nazorg</f>
        <v>0</v>
      </c>
      <c r="D7" s="14">
        <f>Gecontracteerd_tarief_per_integrale_geboortezorg_prestatie_Begeleiding_eindigend__16_wkn_zwangerschap_incl._nazorg</f>
        <v>0</v>
      </c>
      <c r="E7" s="14">
        <f t="shared" ref="E7:E11" si="0">C7*D7</f>
        <v>0</v>
      </c>
      <c r="F7" s="32" t="e">
        <f>$F$16*(E7/$E$16)</f>
        <v>#DIV/0!</v>
      </c>
      <c r="G7" s="32" t="e">
        <f>$G$16*(E7/$E$16)</f>
        <v>#DIV/0!</v>
      </c>
      <c r="H7" s="32" t="e">
        <f>$H$16*(E7/$E$16)</f>
        <v>#DIV/0!</v>
      </c>
      <c r="I7" s="32" t="e">
        <f>$I$16*(E7/$E$16)</f>
        <v>#DIV/0!</v>
      </c>
      <c r="J7" s="39" t="e">
        <f>E7-F7-G7-H7-I7</f>
        <v>#DIV/0!</v>
      </c>
      <c r="L7" s="2" t="str">
        <f>NaamZiekenhuis_1</f>
        <v>TestZkh1</v>
      </c>
      <c r="M7" s="31">
        <f>'Invoertabblad - geleverde zorg'!J8</f>
        <v>0</v>
      </c>
      <c r="N7" s="31">
        <f>'Invoertabblad - geleverde zorg'!K8</f>
        <v>0</v>
      </c>
      <c r="O7" s="31">
        <f>'Invoertabblad - geleverde zorg'!L8</f>
        <v>0</v>
      </c>
      <c r="P7" s="31">
        <f>'Invoertabblad - geleverde zorg'!M8</f>
        <v>0</v>
      </c>
      <c r="Q7" s="31">
        <f>'Invoertabblad - geleverde zorg'!N8</f>
        <v>0</v>
      </c>
      <c r="R7" s="31">
        <f>'Invoertabblad - geleverde zorg'!O8</f>
        <v>0</v>
      </c>
      <c r="S7" s="31">
        <f>'Invoertabblad - geleverde zorg'!P8</f>
        <v>0</v>
      </c>
      <c r="T7" s="31">
        <f>'Invoertabblad - geleverde zorg'!Q8</f>
        <v>0</v>
      </c>
      <c r="U7" s="31">
        <f>'Invoertabblad - geleverde zorg'!R8</f>
        <v>0</v>
      </c>
      <c r="W7" s="2" t="str">
        <f>NaamZiekenhuis_1</f>
        <v>TestZkh1</v>
      </c>
      <c r="X7" s="48" t="str">
        <f t="shared" ref="X7:AF9" si="1">IFERROR(M7/M$10,"")</f>
        <v/>
      </c>
      <c r="Y7" s="48" t="str">
        <f t="shared" si="1"/>
        <v/>
      </c>
      <c r="Z7" s="48" t="str">
        <f t="shared" si="1"/>
        <v/>
      </c>
      <c r="AA7" s="48" t="str">
        <f t="shared" si="1"/>
        <v/>
      </c>
      <c r="AB7" s="48" t="str">
        <f t="shared" si="1"/>
        <v/>
      </c>
      <c r="AC7" s="48" t="str">
        <f t="shared" si="1"/>
        <v/>
      </c>
      <c r="AD7" s="48" t="str">
        <f t="shared" si="1"/>
        <v/>
      </c>
      <c r="AE7" s="48" t="str">
        <f t="shared" si="1"/>
        <v/>
      </c>
      <c r="AF7" s="48" t="str">
        <f t="shared" si="1"/>
        <v/>
      </c>
      <c r="AH7" s="2" t="str">
        <f>NaamZiekenhuis_1</f>
        <v>TestZkh1</v>
      </c>
      <c r="AI7" s="32" t="str">
        <f t="shared" ref="AI7:AQ9" si="2">IF(X7="","",X7*AI$10)</f>
        <v/>
      </c>
      <c r="AJ7" s="32" t="str">
        <f t="shared" si="2"/>
        <v/>
      </c>
      <c r="AK7" s="32" t="str">
        <f t="shared" si="2"/>
        <v/>
      </c>
      <c r="AL7" s="32" t="str">
        <f t="shared" si="2"/>
        <v/>
      </c>
      <c r="AM7" s="32" t="str">
        <f t="shared" si="2"/>
        <v/>
      </c>
      <c r="AN7" s="32" t="str">
        <f t="shared" si="2"/>
        <v/>
      </c>
      <c r="AO7" s="32" t="str">
        <f t="shared" si="2"/>
        <v/>
      </c>
      <c r="AP7" s="32" t="str">
        <f t="shared" si="2"/>
        <v/>
      </c>
      <c r="AQ7" s="32" t="str">
        <f t="shared" si="2"/>
        <v/>
      </c>
      <c r="AR7" s="32">
        <f>SUM(AI7:AQ7)</f>
        <v>0</v>
      </c>
    </row>
    <row r="8" spans="1:44" x14ac:dyDescent="0.5">
      <c r="A8" s="10"/>
      <c r="B8" s="18" t="s">
        <v>133</v>
      </c>
      <c r="C8" s="11">
        <f>Aantal_integrale_geboortezorg_prestaties_Geboortezorg_prenataal</f>
        <v>0</v>
      </c>
      <c r="D8" s="14">
        <f>Gecontracteerd_tarief_per_integrale_geboortezorg_prestatie_Geboortezorg_prenataal</f>
        <v>0</v>
      </c>
      <c r="E8" s="14">
        <f t="shared" si="0"/>
        <v>0</v>
      </c>
      <c r="F8" s="32" t="e">
        <f t="shared" ref="F8:F15" si="3">$F$16*(E8/$E$16)</f>
        <v>#DIV/0!</v>
      </c>
      <c r="G8" s="32" t="e">
        <f t="shared" ref="G8:G15" si="4">$G$16*(E8/$E$16)</f>
        <v>#DIV/0!</v>
      </c>
      <c r="H8" s="32" t="e">
        <f t="shared" ref="H8:H15" si="5">$H$16*(E8/$E$16)</f>
        <v>#DIV/0!</v>
      </c>
      <c r="I8" s="32" t="e">
        <f t="shared" ref="I8:I15" si="6">$I$16*(E8/$E$16)</f>
        <v>#DIV/0!</v>
      </c>
      <c r="J8" s="39" t="e">
        <f t="shared" ref="J8:J15" si="7">E8-F8-G8-H8-I8</f>
        <v>#DIV/0!</v>
      </c>
      <c r="L8" s="2" t="str">
        <f>NaamZiekenhuis_2</f>
        <v>TestZkh2</v>
      </c>
      <c r="M8" s="31">
        <f>'Invoertabblad - geleverde zorg'!J9</f>
        <v>0</v>
      </c>
      <c r="N8" s="31">
        <f>'Invoertabblad - geleverde zorg'!K9</f>
        <v>0</v>
      </c>
      <c r="O8" s="31">
        <f>'Invoertabblad - geleverde zorg'!L9</f>
        <v>0</v>
      </c>
      <c r="P8" s="31">
        <f>'Invoertabblad - geleverde zorg'!M9</f>
        <v>0</v>
      </c>
      <c r="Q8" s="31">
        <f>'Invoertabblad - geleverde zorg'!N9</f>
        <v>0</v>
      </c>
      <c r="R8" s="31">
        <f>'Invoertabblad - geleverde zorg'!O9</f>
        <v>0</v>
      </c>
      <c r="S8" s="31">
        <f>'Invoertabblad - geleverde zorg'!P9</f>
        <v>0</v>
      </c>
      <c r="T8" s="31">
        <f>'Invoertabblad - geleverde zorg'!Q9</f>
        <v>0</v>
      </c>
      <c r="U8" s="31">
        <f>'Invoertabblad - geleverde zorg'!R9</f>
        <v>0</v>
      </c>
      <c r="W8" s="2" t="str">
        <f>NaamZiekenhuis_2</f>
        <v>TestZkh2</v>
      </c>
      <c r="X8" s="48" t="str">
        <f t="shared" si="1"/>
        <v/>
      </c>
      <c r="Y8" s="48" t="str">
        <f t="shared" si="1"/>
        <v/>
      </c>
      <c r="Z8" s="48" t="str">
        <f t="shared" si="1"/>
        <v/>
      </c>
      <c r="AA8" s="48" t="str">
        <f t="shared" si="1"/>
        <v/>
      </c>
      <c r="AB8" s="48" t="str">
        <f t="shared" si="1"/>
        <v/>
      </c>
      <c r="AC8" s="48" t="str">
        <f t="shared" si="1"/>
        <v/>
      </c>
      <c r="AD8" s="48" t="str">
        <f t="shared" si="1"/>
        <v/>
      </c>
      <c r="AE8" s="48" t="str">
        <f t="shared" si="1"/>
        <v/>
      </c>
      <c r="AF8" s="48" t="str">
        <f t="shared" si="1"/>
        <v/>
      </c>
      <c r="AH8" s="2" t="str">
        <f>NaamZiekenhuis_2</f>
        <v>TestZkh2</v>
      </c>
      <c r="AI8" s="32" t="str">
        <f t="shared" si="2"/>
        <v/>
      </c>
      <c r="AJ8" s="32" t="str">
        <f t="shared" si="2"/>
        <v/>
      </c>
      <c r="AK8" s="32" t="str">
        <f t="shared" si="2"/>
        <v/>
      </c>
      <c r="AL8" s="32" t="str">
        <f t="shared" si="2"/>
        <v/>
      </c>
      <c r="AM8" s="32" t="str">
        <f t="shared" si="2"/>
        <v/>
      </c>
      <c r="AN8" s="32" t="str">
        <f t="shared" si="2"/>
        <v/>
      </c>
      <c r="AO8" s="32" t="str">
        <f t="shared" si="2"/>
        <v/>
      </c>
      <c r="AP8" s="32" t="str">
        <f t="shared" si="2"/>
        <v/>
      </c>
      <c r="AQ8" s="32" t="str">
        <f t="shared" si="2"/>
        <v/>
      </c>
      <c r="AR8" s="32">
        <f t="shared" ref="AR8:AR9" si="8">SUM(AI8:AQ8)</f>
        <v>0</v>
      </c>
    </row>
    <row r="9" spans="1:44" x14ac:dyDescent="0.5">
      <c r="A9" s="10"/>
      <c r="B9" s="18" t="s">
        <v>134</v>
      </c>
      <c r="C9" s="11">
        <f>Aantal_integrale_geboortezorg_prestaties_Geboortezorg_prenataal_complex</f>
        <v>0</v>
      </c>
      <c r="D9" s="14">
        <f>Gecontracteerd_tarief_per_integrale_geboortezorg_prestatie_Geboortezorg_prenataal_complex</f>
        <v>0</v>
      </c>
      <c r="E9" s="14">
        <f t="shared" si="0"/>
        <v>0</v>
      </c>
      <c r="F9" s="32" t="e">
        <f t="shared" si="3"/>
        <v>#DIV/0!</v>
      </c>
      <c r="G9" s="32" t="e">
        <f t="shared" si="4"/>
        <v>#DIV/0!</v>
      </c>
      <c r="H9" s="32" t="e">
        <f t="shared" si="5"/>
        <v>#DIV/0!</v>
      </c>
      <c r="I9" s="32" t="e">
        <f t="shared" si="6"/>
        <v>#DIV/0!</v>
      </c>
      <c r="J9" s="39" t="e">
        <f t="shared" si="7"/>
        <v>#DIV/0!</v>
      </c>
      <c r="L9" s="2" t="str">
        <f>NaamZiekenhuis_3</f>
        <v>TestZkh3</v>
      </c>
      <c r="M9" s="31">
        <f>'Invoertabblad - geleverde zorg'!J10</f>
        <v>0</v>
      </c>
      <c r="N9" s="31">
        <f>'Invoertabblad - geleverde zorg'!K10</f>
        <v>0</v>
      </c>
      <c r="O9" s="31">
        <f>'Invoertabblad - geleverde zorg'!L10</f>
        <v>0</v>
      </c>
      <c r="P9" s="31">
        <f>'Invoertabblad - geleverde zorg'!M10</f>
        <v>0</v>
      </c>
      <c r="Q9" s="31">
        <f>'Invoertabblad - geleverde zorg'!N10</f>
        <v>0</v>
      </c>
      <c r="R9" s="31">
        <f>'Invoertabblad - geleverde zorg'!O10</f>
        <v>0</v>
      </c>
      <c r="S9" s="31">
        <f>'Invoertabblad - geleverde zorg'!P10</f>
        <v>0</v>
      </c>
      <c r="T9" s="31">
        <f>'Invoertabblad - geleverde zorg'!Q10</f>
        <v>0</v>
      </c>
      <c r="U9" s="31">
        <f>'Invoertabblad - geleverde zorg'!R10</f>
        <v>0</v>
      </c>
      <c r="W9" s="2" t="str">
        <f>NaamZiekenhuis_3</f>
        <v>TestZkh3</v>
      </c>
      <c r="X9" s="48" t="str">
        <f t="shared" si="1"/>
        <v/>
      </c>
      <c r="Y9" s="48" t="str">
        <f t="shared" si="1"/>
        <v/>
      </c>
      <c r="Z9" s="48" t="str">
        <f t="shared" si="1"/>
        <v/>
      </c>
      <c r="AA9" s="48" t="str">
        <f t="shared" si="1"/>
        <v/>
      </c>
      <c r="AB9" s="48" t="str">
        <f t="shared" si="1"/>
        <v/>
      </c>
      <c r="AC9" s="48" t="str">
        <f t="shared" si="1"/>
        <v/>
      </c>
      <c r="AD9" s="48" t="str">
        <f t="shared" si="1"/>
        <v/>
      </c>
      <c r="AE9" s="48" t="str">
        <f t="shared" si="1"/>
        <v/>
      </c>
      <c r="AF9" s="48" t="str">
        <f t="shared" si="1"/>
        <v/>
      </c>
      <c r="AH9" s="2" t="str">
        <f>NaamZiekenhuis_3</f>
        <v>TestZkh3</v>
      </c>
      <c r="AI9" s="32" t="str">
        <f t="shared" si="2"/>
        <v/>
      </c>
      <c r="AJ9" s="32" t="str">
        <f t="shared" si="2"/>
        <v/>
      </c>
      <c r="AK9" s="32" t="str">
        <f t="shared" si="2"/>
        <v/>
      </c>
      <c r="AL9" s="32" t="str">
        <f t="shared" si="2"/>
        <v/>
      </c>
      <c r="AM9" s="32" t="str">
        <f t="shared" si="2"/>
        <v/>
      </c>
      <c r="AN9" s="32" t="str">
        <f t="shared" si="2"/>
        <v/>
      </c>
      <c r="AO9" s="32" t="str">
        <f t="shared" si="2"/>
        <v/>
      </c>
      <c r="AP9" s="32" t="str">
        <f t="shared" si="2"/>
        <v/>
      </c>
      <c r="AQ9" s="32" t="str">
        <f t="shared" si="2"/>
        <v/>
      </c>
      <c r="AR9" s="32">
        <f t="shared" si="8"/>
        <v>0</v>
      </c>
    </row>
    <row r="10" spans="1:44" x14ac:dyDescent="0.5">
      <c r="A10" s="10"/>
      <c r="B10" s="18" t="s">
        <v>135</v>
      </c>
      <c r="C10" s="11">
        <f>Aantal_integrale_geboortezorg_prestaties_Geboortezorg_nataal</f>
        <v>0</v>
      </c>
      <c r="D10" s="14">
        <f>Gecontracteerd_tarief_per_integrale_geboortezorg_prestatie_Geboortezorg_nataal</f>
        <v>0</v>
      </c>
      <c r="E10" s="14">
        <f t="shared" si="0"/>
        <v>0</v>
      </c>
      <c r="F10" s="32" t="e">
        <f t="shared" si="3"/>
        <v>#DIV/0!</v>
      </c>
      <c r="G10" s="32" t="e">
        <f t="shared" si="4"/>
        <v>#DIV/0!</v>
      </c>
      <c r="H10" s="32" t="e">
        <f t="shared" si="5"/>
        <v>#DIV/0!</v>
      </c>
      <c r="I10" s="32" t="e">
        <f t="shared" si="6"/>
        <v>#DIV/0!</v>
      </c>
      <c r="J10" s="39" t="e">
        <f t="shared" si="7"/>
        <v>#DIV/0!</v>
      </c>
      <c r="L10" s="57" t="s">
        <v>388</v>
      </c>
      <c r="M10" s="58">
        <f>SUM(M7:M9)</f>
        <v>0</v>
      </c>
      <c r="N10" s="58">
        <f t="shared" ref="N10:U10" si="9">SUM(N7:N9)</f>
        <v>0</v>
      </c>
      <c r="O10" s="58">
        <f t="shared" si="9"/>
        <v>0</v>
      </c>
      <c r="P10" s="58">
        <f t="shared" si="9"/>
        <v>0</v>
      </c>
      <c r="Q10" s="58">
        <f t="shared" si="9"/>
        <v>0</v>
      </c>
      <c r="R10" s="58">
        <f t="shared" si="9"/>
        <v>0</v>
      </c>
      <c r="S10" s="58">
        <f t="shared" si="9"/>
        <v>0</v>
      </c>
      <c r="T10" s="58">
        <f t="shared" si="9"/>
        <v>0</v>
      </c>
      <c r="U10" s="58">
        <f t="shared" si="9"/>
        <v>0</v>
      </c>
      <c r="W10" s="50" t="s">
        <v>145</v>
      </c>
      <c r="X10" s="60">
        <f t="shared" ref="X10:AE10" si="10">SUM(X7:X9)</f>
        <v>0</v>
      </c>
      <c r="Y10" s="60">
        <f t="shared" si="10"/>
        <v>0</v>
      </c>
      <c r="Z10" s="60">
        <f t="shared" si="10"/>
        <v>0</v>
      </c>
      <c r="AA10" s="60">
        <f t="shared" si="10"/>
        <v>0</v>
      </c>
      <c r="AB10" s="60">
        <f t="shared" si="10"/>
        <v>0</v>
      </c>
      <c r="AC10" s="60">
        <f t="shared" si="10"/>
        <v>0</v>
      </c>
      <c r="AD10" s="60">
        <f t="shared" si="10"/>
        <v>0</v>
      </c>
      <c r="AE10" s="60">
        <f t="shared" si="10"/>
        <v>0</v>
      </c>
      <c r="AF10" s="60"/>
      <c r="AH10" s="50" t="s">
        <v>200</v>
      </c>
      <c r="AI10" s="59" t="e">
        <f t="shared" ref="AI10:AQ10" si="11">VLOOKUP(AI6,$B$47:$D$57,3,0)</f>
        <v>#DIV/0!</v>
      </c>
      <c r="AJ10" s="59" t="e">
        <f t="shared" si="11"/>
        <v>#DIV/0!</v>
      </c>
      <c r="AK10" s="59" t="e">
        <f t="shared" si="11"/>
        <v>#DIV/0!</v>
      </c>
      <c r="AL10" s="59" t="e">
        <f t="shared" si="11"/>
        <v>#DIV/0!</v>
      </c>
      <c r="AM10" s="59" t="e">
        <f t="shared" si="11"/>
        <v>#DIV/0!</v>
      </c>
      <c r="AN10" s="59" t="e">
        <f t="shared" si="11"/>
        <v>#DIV/0!</v>
      </c>
      <c r="AO10" s="59" t="e">
        <f t="shared" si="11"/>
        <v>#DIV/0!</v>
      </c>
      <c r="AP10" s="59" t="e">
        <f t="shared" si="11"/>
        <v>#DIV/0!</v>
      </c>
      <c r="AQ10" s="59" t="e">
        <f t="shared" si="11"/>
        <v>#DIV/0!</v>
      </c>
      <c r="AR10" s="59" t="e">
        <f>SUM(AI10:AQ10)</f>
        <v>#DIV/0!</v>
      </c>
    </row>
    <row r="11" spans="1:44" x14ac:dyDescent="0.5">
      <c r="A11" s="10"/>
      <c r="B11" s="30" t="s">
        <v>136</v>
      </c>
      <c r="C11" s="11">
        <f>Aantal_integrale_geboortezorg_prestaties_Geboortezorg_nataal_intramuraal_op_eigen_verzoek</f>
        <v>0</v>
      </c>
      <c r="D11" s="14">
        <f>Gecontracteerd_tarief_per_integrale_geboortezorg_prestatie_Geboortezorg_nataal_intramuraal_op_eigen_verzoek</f>
        <v>0</v>
      </c>
      <c r="E11" s="14">
        <f t="shared" si="0"/>
        <v>0</v>
      </c>
      <c r="F11" s="32" t="e">
        <f t="shared" si="3"/>
        <v>#DIV/0!</v>
      </c>
      <c r="G11" s="32" t="e">
        <f t="shared" si="4"/>
        <v>#DIV/0!</v>
      </c>
      <c r="H11" s="32" t="e">
        <f t="shared" si="5"/>
        <v>#DIV/0!</v>
      </c>
      <c r="I11" s="32" t="e">
        <f t="shared" si="6"/>
        <v>#DIV/0!</v>
      </c>
      <c r="J11" s="39" t="e">
        <f t="shared" si="7"/>
        <v>#DIV/0!</v>
      </c>
      <c r="L11" s="1" t="s">
        <v>195</v>
      </c>
      <c r="W11" s="1" t="s">
        <v>290</v>
      </c>
      <c r="AH11" s="1" t="s">
        <v>291</v>
      </c>
    </row>
    <row r="12" spans="1:44" x14ac:dyDescent="0.5">
      <c r="A12" s="10"/>
      <c r="B12" s="18" t="s">
        <v>139</v>
      </c>
      <c r="C12" s="11">
        <f>Aantal_integrale_geboortezorg_prestaties_Geboortezorg_nataal_complex</f>
        <v>0</v>
      </c>
      <c r="D12" s="14">
        <f>Gecontracteerd_tarief_per_integrale_geboortezorg_prestatie_Geboortezorg_nataal_complex</f>
        <v>0</v>
      </c>
      <c r="E12" s="14">
        <f>C12*D12</f>
        <v>0</v>
      </c>
      <c r="F12" s="32" t="e">
        <f t="shared" si="3"/>
        <v>#DIV/0!</v>
      </c>
      <c r="G12" s="32" t="e">
        <f t="shared" si="4"/>
        <v>#DIV/0!</v>
      </c>
      <c r="H12" s="32" t="e">
        <f t="shared" si="5"/>
        <v>#DIV/0!</v>
      </c>
      <c r="I12" s="32" t="e">
        <f t="shared" si="6"/>
        <v>#DIV/0!</v>
      </c>
      <c r="J12" s="39" t="e">
        <f t="shared" si="7"/>
        <v>#DIV/0!</v>
      </c>
      <c r="L12" s="2" t="str">
        <f>NaamPraktijk_1</f>
        <v>TestPraktijk 1</v>
      </c>
      <c r="M12" s="31">
        <f>'Invoertabblad - geleverde zorg'!J13</f>
        <v>0</v>
      </c>
      <c r="N12" s="31">
        <f>'Invoertabblad - geleverde zorg'!K13</f>
        <v>0</v>
      </c>
      <c r="O12" s="31">
        <f>'Invoertabblad - geleverde zorg'!L13</f>
        <v>0</v>
      </c>
      <c r="P12" s="31">
        <f>'Invoertabblad - geleverde zorg'!M13</f>
        <v>0</v>
      </c>
      <c r="Q12" s="31">
        <f>'Invoertabblad - geleverde zorg'!N13</f>
        <v>0</v>
      </c>
      <c r="R12" s="31">
        <f>'Invoertabblad - geleverde zorg'!O13</f>
        <v>0</v>
      </c>
      <c r="S12" s="31">
        <f>'Invoertabblad - geleverde zorg'!P13</f>
        <v>0</v>
      </c>
      <c r="T12" s="31">
        <f>'Invoertabblad - geleverde zorg'!Q13</f>
        <v>0</v>
      </c>
      <c r="U12" s="31">
        <f>'Invoertabblad - geleverde zorg'!R13</f>
        <v>0</v>
      </c>
      <c r="W12" s="2" t="str">
        <f>NaamPraktijk_1</f>
        <v>TestPraktijk 1</v>
      </c>
      <c r="X12" s="48" t="str">
        <f t="shared" ref="X12:X26" si="12">IFERROR(M12/M$27,"")</f>
        <v/>
      </c>
      <c r="Y12" s="48" t="str">
        <f t="shared" ref="Y12:Y26" si="13">IFERROR(N12/N$27,"")</f>
        <v/>
      </c>
      <c r="Z12" s="48" t="str">
        <f t="shared" ref="Z12:Z26" si="14">IFERROR(O12/O$27,"")</f>
        <v/>
      </c>
      <c r="AA12" s="48" t="str">
        <f t="shared" ref="AA12:AA26" si="15">IFERROR(P12/P$27,"")</f>
        <v/>
      </c>
      <c r="AB12" s="48" t="str">
        <f t="shared" ref="AB12:AB26" si="16">IFERROR(Q12/Q$27,"")</f>
        <v/>
      </c>
      <c r="AC12" s="48" t="str">
        <f t="shared" ref="AC12:AC26" si="17">IFERROR(R12/R$27,"")</f>
        <v/>
      </c>
      <c r="AD12" s="48" t="str">
        <f t="shared" ref="AD12:AD26" si="18">IFERROR(S12/S$27,"")</f>
        <v/>
      </c>
      <c r="AE12" s="48" t="str">
        <f t="shared" ref="AE12:AE26" si="19">IFERROR(T12/T$27,"")</f>
        <v/>
      </c>
      <c r="AF12" s="48" t="str">
        <f t="shared" ref="AF12:AF26" si="20">IFERROR(U12/U$27,"")</f>
        <v/>
      </c>
      <c r="AH12" s="2" t="str">
        <f>NaamPraktijk_1</f>
        <v>TestPraktijk 1</v>
      </c>
      <c r="AI12" s="32" t="str">
        <f t="shared" ref="AI12:AI26" si="21">IF(X12="","",X12*AI$27)</f>
        <v/>
      </c>
      <c r="AJ12" s="32" t="str">
        <f t="shared" ref="AJ12:AJ26" si="22">IF(Y12="","",Y12*AJ$27)</f>
        <v/>
      </c>
      <c r="AK12" s="32" t="str">
        <f t="shared" ref="AK12:AK26" si="23">IF(Z12="","",Z12*AK$27)</f>
        <v/>
      </c>
      <c r="AL12" s="32" t="str">
        <f t="shared" ref="AL12:AL26" si="24">IF(AA12="","",AA12*AL$27)</f>
        <v/>
      </c>
      <c r="AM12" s="32" t="str">
        <f t="shared" ref="AM12:AM26" si="25">IF(AB12="","",AB12*AM$27)</f>
        <v/>
      </c>
      <c r="AN12" s="32" t="str">
        <f t="shared" ref="AN12:AN26" si="26">IF(AC12="","",AC12*AN$27)</f>
        <v/>
      </c>
      <c r="AO12" s="32" t="str">
        <f t="shared" ref="AO12:AO26" si="27">IF(AD12="","",AD12*AO$27)</f>
        <v/>
      </c>
      <c r="AP12" s="32" t="str">
        <f t="shared" ref="AP12:AP26" si="28">IF(AE12="","",AE12*AP$27)</f>
        <v/>
      </c>
      <c r="AQ12" s="32" t="str">
        <f t="shared" ref="AQ12:AQ26" si="29">IF(AF12="","",AF12*AQ$27)</f>
        <v/>
      </c>
      <c r="AR12" s="32">
        <f t="shared" ref="AR12:AR27" si="30">SUM(AI12:AQ12)</f>
        <v>0</v>
      </c>
    </row>
    <row r="13" spans="1:44" x14ac:dyDescent="0.5">
      <c r="A13" s="10"/>
      <c r="B13" s="18" t="s">
        <v>140</v>
      </c>
      <c r="C13" s="11">
        <f>Aantal_integrale_geboortezorg_prestaties_Geboortezorg_postnataal</f>
        <v>0</v>
      </c>
      <c r="D13" s="14">
        <f>Gecontracteerd_tarief_per_integrale_geboortezorg_prestatie_Geboortezorg_postnataal</f>
        <v>0</v>
      </c>
      <c r="E13" s="14">
        <f>C13*D13</f>
        <v>0</v>
      </c>
      <c r="F13" s="32" t="e">
        <f t="shared" si="3"/>
        <v>#DIV/0!</v>
      </c>
      <c r="G13" s="32" t="e">
        <f t="shared" si="4"/>
        <v>#DIV/0!</v>
      </c>
      <c r="H13" s="32" t="e">
        <f t="shared" si="5"/>
        <v>#DIV/0!</v>
      </c>
      <c r="I13" s="32" t="e">
        <f t="shared" si="6"/>
        <v>#DIV/0!</v>
      </c>
      <c r="J13" s="39" t="e">
        <f t="shared" si="7"/>
        <v>#DIV/0!</v>
      </c>
      <c r="L13" s="2" t="str">
        <f>NaamPraktijk_2</f>
        <v>TestPraktijk 2</v>
      </c>
      <c r="M13" s="31">
        <f>'Invoertabblad - geleverde zorg'!J14</f>
        <v>0</v>
      </c>
      <c r="N13" s="31">
        <f>'Invoertabblad - geleverde zorg'!K14</f>
        <v>0</v>
      </c>
      <c r="O13" s="31">
        <f>'Invoertabblad - geleverde zorg'!L14</f>
        <v>0</v>
      </c>
      <c r="P13" s="31">
        <f>'Invoertabblad - geleverde zorg'!M14</f>
        <v>0</v>
      </c>
      <c r="Q13" s="31">
        <f>'Invoertabblad - geleverde zorg'!N14</f>
        <v>0</v>
      </c>
      <c r="R13" s="31">
        <f>'Invoertabblad - geleverde zorg'!O14</f>
        <v>0</v>
      </c>
      <c r="S13" s="31">
        <f>'Invoertabblad - geleverde zorg'!P14</f>
        <v>0</v>
      </c>
      <c r="T13" s="31">
        <f>'Invoertabblad - geleverde zorg'!Q14</f>
        <v>0</v>
      </c>
      <c r="U13" s="31">
        <f>'Invoertabblad - geleverde zorg'!R14</f>
        <v>0</v>
      </c>
      <c r="W13" s="2" t="str">
        <f>NaamPraktijk_2</f>
        <v>TestPraktijk 2</v>
      </c>
      <c r="X13" s="48" t="str">
        <f t="shared" si="12"/>
        <v/>
      </c>
      <c r="Y13" s="48" t="str">
        <f t="shared" si="13"/>
        <v/>
      </c>
      <c r="Z13" s="48" t="str">
        <f t="shared" si="14"/>
        <v/>
      </c>
      <c r="AA13" s="48" t="str">
        <f t="shared" si="15"/>
        <v/>
      </c>
      <c r="AB13" s="48" t="str">
        <f t="shared" si="16"/>
        <v/>
      </c>
      <c r="AC13" s="48" t="str">
        <f t="shared" si="17"/>
        <v/>
      </c>
      <c r="AD13" s="48" t="str">
        <f t="shared" si="18"/>
        <v/>
      </c>
      <c r="AE13" s="48" t="str">
        <f t="shared" si="19"/>
        <v/>
      </c>
      <c r="AF13" s="48" t="str">
        <f t="shared" si="20"/>
        <v/>
      </c>
      <c r="AH13" s="2" t="str">
        <f>NaamPraktijk_2</f>
        <v>TestPraktijk 2</v>
      </c>
      <c r="AI13" s="32" t="str">
        <f t="shared" si="21"/>
        <v/>
      </c>
      <c r="AJ13" s="32" t="str">
        <f t="shared" si="22"/>
        <v/>
      </c>
      <c r="AK13" s="32" t="str">
        <f t="shared" si="23"/>
        <v/>
      </c>
      <c r="AL13" s="32" t="str">
        <f t="shared" si="24"/>
        <v/>
      </c>
      <c r="AM13" s="32" t="str">
        <f t="shared" si="25"/>
        <v/>
      </c>
      <c r="AN13" s="32" t="str">
        <f t="shared" si="26"/>
        <v/>
      </c>
      <c r="AO13" s="32" t="str">
        <f t="shared" si="27"/>
        <v/>
      </c>
      <c r="AP13" s="32" t="str">
        <f t="shared" si="28"/>
        <v/>
      </c>
      <c r="AQ13" s="32" t="str">
        <f t="shared" si="29"/>
        <v/>
      </c>
      <c r="AR13" s="32">
        <f t="shared" si="30"/>
        <v>0</v>
      </c>
    </row>
    <row r="14" spans="1:44" x14ac:dyDescent="0.5">
      <c r="A14" s="10"/>
      <c r="B14" s="19" t="s">
        <v>137</v>
      </c>
      <c r="C14" s="11">
        <f>Aantal_integrale_geboortezorg_prestaties_Geboortezorg_postnataal_complex</f>
        <v>0</v>
      </c>
      <c r="D14" s="14">
        <f>Gecontracteerd_tarief_per_integrale_geboortezorg_prestatie_Geboortezorg_postnataal_complex</f>
        <v>0</v>
      </c>
      <c r="E14" s="14">
        <f>C14*D14</f>
        <v>0</v>
      </c>
      <c r="F14" s="32" t="e">
        <f t="shared" si="3"/>
        <v>#DIV/0!</v>
      </c>
      <c r="G14" s="32" t="e">
        <f t="shared" si="4"/>
        <v>#DIV/0!</v>
      </c>
      <c r="H14" s="32" t="e">
        <f t="shared" si="5"/>
        <v>#DIV/0!</v>
      </c>
      <c r="I14" s="32" t="e">
        <f t="shared" si="6"/>
        <v>#DIV/0!</v>
      </c>
      <c r="J14" s="39" t="e">
        <f t="shared" si="7"/>
        <v>#DIV/0!</v>
      </c>
      <c r="L14" s="2" t="str">
        <f>NaamPraktijk_3</f>
        <v>TestPraktijk 3</v>
      </c>
      <c r="M14" s="31">
        <f>'Invoertabblad - geleverde zorg'!J15</f>
        <v>0</v>
      </c>
      <c r="N14" s="31">
        <f>'Invoertabblad - geleverde zorg'!K15</f>
        <v>0</v>
      </c>
      <c r="O14" s="31">
        <f>'Invoertabblad - geleverde zorg'!L15</f>
        <v>0</v>
      </c>
      <c r="P14" s="31">
        <f>'Invoertabblad - geleverde zorg'!M15</f>
        <v>0</v>
      </c>
      <c r="Q14" s="31">
        <f>'Invoertabblad - geleverde zorg'!N15</f>
        <v>0</v>
      </c>
      <c r="R14" s="31">
        <f>'Invoertabblad - geleverde zorg'!O15</f>
        <v>0</v>
      </c>
      <c r="S14" s="31">
        <f>'Invoertabblad - geleverde zorg'!P15</f>
        <v>0</v>
      </c>
      <c r="T14" s="31">
        <f>'Invoertabblad - geleverde zorg'!Q15</f>
        <v>0</v>
      </c>
      <c r="U14" s="31">
        <f>'Invoertabblad - geleverde zorg'!R15</f>
        <v>0</v>
      </c>
      <c r="W14" s="2" t="str">
        <f>NaamPraktijk_3</f>
        <v>TestPraktijk 3</v>
      </c>
      <c r="X14" s="48" t="str">
        <f t="shared" si="12"/>
        <v/>
      </c>
      <c r="Y14" s="48" t="str">
        <f t="shared" si="13"/>
        <v/>
      </c>
      <c r="Z14" s="48" t="str">
        <f t="shared" si="14"/>
        <v/>
      </c>
      <c r="AA14" s="48" t="str">
        <f t="shared" si="15"/>
        <v/>
      </c>
      <c r="AB14" s="48" t="str">
        <f t="shared" si="16"/>
        <v/>
      </c>
      <c r="AC14" s="48" t="str">
        <f t="shared" si="17"/>
        <v/>
      </c>
      <c r="AD14" s="48" t="str">
        <f t="shared" si="18"/>
        <v/>
      </c>
      <c r="AE14" s="48" t="str">
        <f t="shared" si="19"/>
        <v/>
      </c>
      <c r="AF14" s="48" t="str">
        <f t="shared" si="20"/>
        <v/>
      </c>
      <c r="AH14" s="2" t="str">
        <f>NaamPraktijk_3</f>
        <v>TestPraktijk 3</v>
      </c>
      <c r="AI14" s="32" t="str">
        <f t="shared" si="21"/>
        <v/>
      </c>
      <c r="AJ14" s="32" t="str">
        <f t="shared" si="22"/>
        <v/>
      </c>
      <c r="AK14" s="32" t="str">
        <f t="shared" si="23"/>
        <v/>
      </c>
      <c r="AL14" s="32" t="str">
        <f t="shared" si="24"/>
        <v/>
      </c>
      <c r="AM14" s="32" t="str">
        <f t="shared" si="25"/>
        <v/>
      </c>
      <c r="AN14" s="32" t="str">
        <f t="shared" si="26"/>
        <v/>
      </c>
      <c r="AO14" s="32" t="str">
        <f t="shared" si="27"/>
        <v/>
      </c>
      <c r="AP14" s="32" t="str">
        <f t="shared" si="28"/>
        <v/>
      </c>
      <c r="AQ14" s="32" t="str">
        <f t="shared" si="29"/>
        <v/>
      </c>
      <c r="AR14" s="32">
        <f t="shared" si="30"/>
        <v>0</v>
      </c>
    </row>
    <row r="15" spans="1:44" ht="17.5" thickBot="1" x14ac:dyDescent="0.55000000000000004">
      <c r="A15" s="10"/>
      <c r="B15" s="27" t="s">
        <v>138</v>
      </c>
      <c r="C15" s="20">
        <f>Aantal_integrale_geboortezorg_prestaties_Kraamzorg_postnataal_per_uur</f>
        <v>0</v>
      </c>
      <c r="D15" s="85">
        <f>Gecontracteerd_tarief_per_integrale_geboortezorg_prestatie_Kraamzorg_postnataal_per_uur</f>
        <v>0</v>
      </c>
      <c r="E15" s="21">
        <f>C15*D15</f>
        <v>0</v>
      </c>
      <c r="F15" s="32" t="e">
        <f t="shared" si="3"/>
        <v>#DIV/0!</v>
      </c>
      <c r="G15" s="32" t="e">
        <f t="shared" si="4"/>
        <v>#DIV/0!</v>
      </c>
      <c r="H15" s="32" t="e">
        <f t="shared" si="5"/>
        <v>#DIV/0!</v>
      </c>
      <c r="I15" s="32" t="e">
        <f t="shared" si="6"/>
        <v>#DIV/0!</v>
      </c>
      <c r="J15" s="39" t="e">
        <f t="shared" si="7"/>
        <v>#DIV/0!</v>
      </c>
      <c r="L15" s="2" t="str">
        <f>NaamPraktijk_4</f>
        <v>TestPraktijk 4</v>
      </c>
      <c r="M15" s="31">
        <f>'Invoertabblad - geleverde zorg'!J16</f>
        <v>0</v>
      </c>
      <c r="N15" s="31">
        <f>'Invoertabblad - geleverde zorg'!K16</f>
        <v>0</v>
      </c>
      <c r="O15" s="31">
        <f>'Invoertabblad - geleverde zorg'!L16</f>
        <v>0</v>
      </c>
      <c r="P15" s="31">
        <f>'Invoertabblad - geleverde zorg'!M16</f>
        <v>0</v>
      </c>
      <c r="Q15" s="31">
        <f>'Invoertabblad - geleverde zorg'!N16</f>
        <v>0</v>
      </c>
      <c r="R15" s="31">
        <f>'Invoertabblad - geleverde zorg'!O16</f>
        <v>0</v>
      </c>
      <c r="S15" s="31">
        <f>'Invoertabblad - geleverde zorg'!P16</f>
        <v>0</v>
      </c>
      <c r="T15" s="31">
        <f>'Invoertabblad - geleverde zorg'!Q16</f>
        <v>0</v>
      </c>
      <c r="U15" s="31">
        <f>'Invoertabblad - geleverde zorg'!R16</f>
        <v>0</v>
      </c>
      <c r="W15" s="2" t="str">
        <f>NaamPraktijk_4</f>
        <v>TestPraktijk 4</v>
      </c>
      <c r="X15" s="48" t="str">
        <f t="shared" si="12"/>
        <v/>
      </c>
      <c r="Y15" s="48" t="str">
        <f t="shared" si="13"/>
        <v/>
      </c>
      <c r="Z15" s="48" t="str">
        <f t="shared" si="14"/>
        <v/>
      </c>
      <c r="AA15" s="48" t="str">
        <f t="shared" si="15"/>
        <v/>
      </c>
      <c r="AB15" s="48" t="str">
        <f t="shared" si="16"/>
        <v/>
      </c>
      <c r="AC15" s="48" t="str">
        <f t="shared" si="17"/>
        <v/>
      </c>
      <c r="AD15" s="48" t="str">
        <f t="shared" si="18"/>
        <v/>
      </c>
      <c r="AE15" s="48" t="str">
        <f t="shared" si="19"/>
        <v/>
      </c>
      <c r="AF15" s="48" t="str">
        <f t="shared" si="20"/>
        <v/>
      </c>
      <c r="AH15" s="2" t="str">
        <f>NaamPraktijk_4</f>
        <v>TestPraktijk 4</v>
      </c>
      <c r="AI15" s="32" t="str">
        <f t="shared" si="21"/>
        <v/>
      </c>
      <c r="AJ15" s="32" t="str">
        <f t="shared" si="22"/>
        <v/>
      </c>
      <c r="AK15" s="32" t="str">
        <f t="shared" si="23"/>
        <v/>
      </c>
      <c r="AL15" s="32" t="str">
        <f t="shared" si="24"/>
        <v/>
      </c>
      <c r="AM15" s="32" t="str">
        <f t="shared" si="25"/>
        <v/>
      </c>
      <c r="AN15" s="32" t="str">
        <f t="shared" si="26"/>
        <v/>
      </c>
      <c r="AO15" s="32" t="str">
        <f t="shared" si="27"/>
        <v/>
      </c>
      <c r="AP15" s="32" t="str">
        <f t="shared" si="28"/>
        <v/>
      </c>
      <c r="AQ15" s="32" t="str">
        <f t="shared" si="29"/>
        <v/>
      </c>
      <c r="AR15" s="32">
        <f t="shared" si="30"/>
        <v>0</v>
      </c>
    </row>
    <row r="16" spans="1:44" ht="17.5" thickBot="1" x14ac:dyDescent="0.55000000000000004">
      <c r="A16" s="10"/>
      <c r="B16" s="22" t="s">
        <v>145</v>
      </c>
      <c r="C16" s="23" t="s">
        <v>129</v>
      </c>
      <c r="D16" s="24" t="s">
        <v>129</v>
      </c>
      <c r="E16" s="24">
        <f>SUM(E7:E15)</f>
        <v>0</v>
      </c>
      <c r="F16" s="37">
        <f>Overheadkosten_van_de_IGO___zorggroep___…_Beheerskosten_IGO___zorggroep___…</f>
        <v>0</v>
      </c>
      <c r="G16" s="37">
        <f>Overheadkosten_van_de_IGO___zorggroep___…_Innovatie__en_kwaliteitsprojecten</f>
        <v>0</v>
      </c>
      <c r="H16" s="37">
        <f>E26+E32</f>
        <v>0</v>
      </c>
      <c r="I16" s="37">
        <f>Overheadkosten_van_de_IGO___zorggroep___…_Overige_kosten</f>
        <v>0</v>
      </c>
      <c r="J16" s="38" t="e">
        <f>SUM(J7:J15)</f>
        <v>#DIV/0!</v>
      </c>
      <c r="L16" s="2" t="str">
        <f>NaamPraktijk_5</f>
        <v>TestPraktijk 5</v>
      </c>
      <c r="M16" s="31">
        <f>'Invoertabblad - geleverde zorg'!J17</f>
        <v>0</v>
      </c>
      <c r="N16" s="31">
        <f>'Invoertabblad - geleverde zorg'!K17</f>
        <v>0</v>
      </c>
      <c r="O16" s="31">
        <f>'Invoertabblad - geleverde zorg'!L17</f>
        <v>0</v>
      </c>
      <c r="P16" s="31">
        <f>'Invoertabblad - geleverde zorg'!M17</f>
        <v>0</v>
      </c>
      <c r="Q16" s="31">
        <f>'Invoertabblad - geleverde zorg'!N17</f>
        <v>0</v>
      </c>
      <c r="R16" s="31">
        <f>'Invoertabblad - geleverde zorg'!O17</f>
        <v>0</v>
      </c>
      <c r="S16" s="31">
        <f>'Invoertabblad - geleverde zorg'!P17</f>
        <v>0</v>
      </c>
      <c r="T16" s="31">
        <f>'Invoertabblad - geleverde zorg'!Q17</f>
        <v>0</v>
      </c>
      <c r="U16" s="31">
        <f>'Invoertabblad - geleverde zorg'!R17</f>
        <v>0</v>
      </c>
      <c r="W16" s="2" t="str">
        <f>NaamPraktijk_5</f>
        <v>TestPraktijk 5</v>
      </c>
      <c r="X16" s="48" t="str">
        <f t="shared" si="12"/>
        <v/>
      </c>
      <c r="Y16" s="48" t="str">
        <f t="shared" si="13"/>
        <v/>
      </c>
      <c r="Z16" s="48" t="str">
        <f t="shared" si="14"/>
        <v/>
      </c>
      <c r="AA16" s="48" t="str">
        <f t="shared" si="15"/>
        <v/>
      </c>
      <c r="AB16" s="48" t="str">
        <f t="shared" si="16"/>
        <v/>
      </c>
      <c r="AC16" s="48" t="str">
        <f t="shared" si="17"/>
        <v/>
      </c>
      <c r="AD16" s="48" t="str">
        <f t="shared" si="18"/>
        <v/>
      </c>
      <c r="AE16" s="48" t="str">
        <f t="shared" si="19"/>
        <v/>
      </c>
      <c r="AF16" s="48" t="str">
        <f t="shared" si="20"/>
        <v/>
      </c>
      <c r="AG16" s="10"/>
      <c r="AH16" s="2" t="str">
        <f>NaamPraktijk_5</f>
        <v>TestPraktijk 5</v>
      </c>
      <c r="AI16" s="32" t="str">
        <f t="shared" si="21"/>
        <v/>
      </c>
      <c r="AJ16" s="32" t="str">
        <f t="shared" si="22"/>
        <v/>
      </c>
      <c r="AK16" s="32" t="str">
        <f t="shared" si="23"/>
        <v/>
      </c>
      <c r="AL16" s="32" t="str">
        <f t="shared" si="24"/>
        <v/>
      </c>
      <c r="AM16" s="32" t="str">
        <f t="shared" si="25"/>
        <v/>
      </c>
      <c r="AN16" s="32" t="str">
        <f t="shared" si="26"/>
        <v/>
      </c>
      <c r="AO16" s="32" t="str">
        <f t="shared" si="27"/>
        <v/>
      </c>
      <c r="AP16" s="32" t="str">
        <f t="shared" si="28"/>
        <v/>
      </c>
      <c r="AQ16" s="32" t="str">
        <f t="shared" si="29"/>
        <v/>
      </c>
      <c r="AR16" s="32">
        <f t="shared" si="30"/>
        <v>0</v>
      </c>
    </row>
    <row r="17" spans="2:44" x14ac:dyDescent="0.5">
      <c r="L17" s="2" t="str">
        <f>NaamPraktijk_6</f>
        <v>TestPraktijk 6</v>
      </c>
      <c r="M17" s="31">
        <f>'Invoertabblad - geleverde zorg'!J18</f>
        <v>0</v>
      </c>
      <c r="N17" s="31">
        <f>'Invoertabblad - geleverde zorg'!K18</f>
        <v>0</v>
      </c>
      <c r="O17" s="31">
        <f>'Invoertabblad - geleverde zorg'!L18</f>
        <v>0</v>
      </c>
      <c r="P17" s="31">
        <f>'Invoertabblad - geleverde zorg'!M18</f>
        <v>0</v>
      </c>
      <c r="Q17" s="31">
        <f>'Invoertabblad - geleverde zorg'!N18</f>
        <v>0</v>
      </c>
      <c r="R17" s="31">
        <f>'Invoertabblad - geleverde zorg'!O18</f>
        <v>0</v>
      </c>
      <c r="S17" s="31">
        <f>'Invoertabblad - geleverde zorg'!P18</f>
        <v>0</v>
      </c>
      <c r="T17" s="31">
        <f>'Invoertabblad - geleverde zorg'!Q18</f>
        <v>0</v>
      </c>
      <c r="U17" s="31">
        <f>'Invoertabblad - geleverde zorg'!R18</f>
        <v>0</v>
      </c>
      <c r="W17" s="2" t="str">
        <f>NaamPraktijk_6</f>
        <v>TestPraktijk 6</v>
      </c>
      <c r="X17" s="48" t="str">
        <f t="shared" si="12"/>
        <v/>
      </c>
      <c r="Y17" s="48" t="str">
        <f t="shared" si="13"/>
        <v/>
      </c>
      <c r="Z17" s="48" t="str">
        <f t="shared" si="14"/>
        <v/>
      </c>
      <c r="AA17" s="48" t="str">
        <f t="shared" si="15"/>
        <v/>
      </c>
      <c r="AB17" s="48" t="str">
        <f t="shared" si="16"/>
        <v/>
      </c>
      <c r="AC17" s="48" t="str">
        <f t="shared" si="17"/>
        <v/>
      </c>
      <c r="AD17" s="48" t="str">
        <f t="shared" si="18"/>
        <v/>
      </c>
      <c r="AE17" s="48" t="str">
        <f t="shared" si="19"/>
        <v/>
      </c>
      <c r="AF17" s="48" t="str">
        <f t="shared" si="20"/>
        <v/>
      </c>
      <c r="AH17" s="2" t="str">
        <f>NaamPraktijk_6</f>
        <v>TestPraktijk 6</v>
      </c>
      <c r="AI17" s="32" t="str">
        <f t="shared" si="21"/>
        <v/>
      </c>
      <c r="AJ17" s="32" t="str">
        <f t="shared" si="22"/>
        <v/>
      </c>
      <c r="AK17" s="32" t="str">
        <f t="shared" si="23"/>
        <v/>
      </c>
      <c r="AL17" s="32" t="str">
        <f t="shared" si="24"/>
        <v/>
      </c>
      <c r="AM17" s="32" t="str">
        <f t="shared" si="25"/>
        <v/>
      </c>
      <c r="AN17" s="32" t="str">
        <f t="shared" si="26"/>
        <v/>
      </c>
      <c r="AO17" s="32" t="str">
        <f t="shared" si="27"/>
        <v/>
      </c>
      <c r="AP17" s="32" t="str">
        <f t="shared" si="28"/>
        <v/>
      </c>
      <c r="AQ17" s="32" t="str">
        <f t="shared" si="29"/>
        <v/>
      </c>
      <c r="AR17" s="32">
        <f t="shared" si="30"/>
        <v>0</v>
      </c>
    </row>
    <row r="18" spans="2:44" s="10" customFormat="1" x14ac:dyDescent="0.5">
      <c r="B18" s="1" t="s">
        <v>296</v>
      </c>
      <c r="C18" s="4"/>
      <c r="D18" s="4"/>
      <c r="E18" s="4"/>
      <c r="L18" s="2" t="str">
        <f>NaamPraktijk_7</f>
        <v>TestPraktijk 7</v>
      </c>
      <c r="M18" s="31">
        <f>'Invoertabblad - geleverde zorg'!J19</f>
        <v>0</v>
      </c>
      <c r="N18" s="31">
        <f>'Invoertabblad - geleverde zorg'!K19</f>
        <v>0</v>
      </c>
      <c r="O18" s="31">
        <f>'Invoertabblad - geleverde zorg'!L19</f>
        <v>0</v>
      </c>
      <c r="P18" s="31">
        <f>'Invoertabblad - geleverde zorg'!M19</f>
        <v>0</v>
      </c>
      <c r="Q18" s="31">
        <f>'Invoertabblad - geleverde zorg'!N19</f>
        <v>0</v>
      </c>
      <c r="R18" s="31">
        <f>'Invoertabblad - geleverde zorg'!O19</f>
        <v>0</v>
      </c>
      <c r="S18" s="31">
        <f>'Invoertabblad - geleverde zorg'!P19</f>
        <v>0</v>
      </c>
      <c r="T18" s="31">
        <f>'Invoertabblad - geleverde zorg'!Q19</f>
        <v>0</v>
      </c>
      <c r="U18" s="31">
        <f>'Invoertabblad - geleverde zorg'!R19</f>
        <v>0</v>
      </c>
      <c r="W18" s="2" t="str">
        <f>NaamPraktijk_7</f>
        <v>TestPraktijk 7</v>
      </c>
      <c r="X18" s="48" t="str">
        <f t="shared" si="12"/>
        <v/>
      </c>
      <c r="Y18" s="48" t="str">
        <f t="shared" si="13"/>
        <v/>
      </c>
      <c r="Z18" s="48" t="str">
        <f t="shared" si="14"/>
        <v/>
      </c>
      <c r="AA18" s="48" t="str">
        <f t="shared" si="15"/>
        <v/>
      </c>
      <c r="AB18" s="48" t="str">
        <f t="shared" si="16"/>
        <v/>
      </c>
      <c r="AC18" s="48" t="str">
        <f t="shared" si="17"/>
        <v/>
      </c>
      <c r="AD18" s="48" t="str">
        <f t="shared" si="18"/>
        <v/>
      </c>
      <c r="AE18" s="48" t="str">
        <f t="shared" si="19"/>
        <v/>
      </c>
      <c r="AF18" s="48" t="str">
        <f t="shared" si="20"/>
        <v/>
      </c>
      <c r="AG18"/>
      <c r="AH18" s="2" t="str">
        <f>NaamPraktijk_7</f>
        <v>TestPraktijk 7</v>
      </c>
      <c r="AI18" s="32" t="str">
        <f t="shared" si="21"/>
        <v/>
      </c>
      <c r="AJ18" s="32" t="str">
        <f t="shared" si="22"/>
        <v/>
      </c>
      <c r="AK18" s="32" t="str">
        <f t="shared" si="23"/>
        <v/>
      </c>
      <c r="AL18" s="32" t="str">
        <f t="shared" si="24"/>
        <v/>
      </c>
      <c r="AM18" s="32" t="str">
        <f t="shared" si="25"/>
        <v/>
      </c>
      <c r="AN18" s="32" t="str">
        <f t="shared" si="26"/>
        <v/>
      </c>
      <c r="AO18" s="32" t="str">
        <f t="shared" si="27"/>
        <v/>
      </c>
      <c r="AP18" s="32" t="str">
        <f t="shared" si="28"/>
        <v/>
      </c>
      <c r="AQ18" s="32" t="str">
        <f t="shared" si="29"/>
        <v/>
      </c>
      <c r="AR18" s="32">
        <f t="shared" si="30"/>
        <v>0</v>
      </c>
    </row>
    <row r="19" spans="2:44" x14ac:dyDescent="0.5">
      <c r="B19" s="71" t="s">
        <v>205</v>
      </c>
      <c r="C19" s="73" t="s">
        <v>127</v>
      </c>
      <c r="D19" s="73" t="s">
        <v>206</v>
      </c>
      <c r="E19" s="73" t="s">
        <v>220</v>
      </c>
      <c r="L19" s="2" t="str">
        <f>NaamPraktijk_8</f>
        <v>TestPraktijk 8</v>
      </c>
      <c r="M19" s="31">
        <f>'Invoertabblad - geleverde zorg'!J20</f>
        <v>0</v>
      </c>
      <c r="N19" s="31">
        <f>'Invoertabblad - geleverde zorg'!K20</f>
        <v>0</v>
      </c>
      <c r="O19" s="31">
        <f>'Invoertabblad - geleverde zorg'!L20</f>
        <v>0</v>
      </c>
      <c r="P19" s="31">
        <f>'Invoertabblad - geleverde zorg'!M20</f>
        <v>0</v>
      </c>
      <c r="Q19" s="31">
        <f>'Invoertabblad - geleverde zorg'!N20</f>
        <v>0</v>
      </c>
      <c r="R19" s="31">
        <f>'Invoertabblad - geleverde zorg'!O20</f>
        <v>0</v>
      </c>
      <c r="S19" s="31">
        <f>'Invoertabblad - geleverde zorg'!P20</f>
        <v>0</v>
      </c>
      <c r="T19" s="31">
        <f>'Invoertabblad - geleverde zorg'!Q20</f>
        <v>0</v>
      </c>
      <c r="U19" s="31">
        <f>'Invoertabblad - geleverde zorg'!R20</f>
        <v>0</v>
      </c>
      <c r="W19" s="2" t="str">
        <f>NaamPraktijk_8</f>
        <v>TestPraktijk 8</v>
      </c>
      <c r="X19" s="48" t="str">
        <f t="shared" si="12"/>
        <v/>
      </c>
      <c r="Y19" s="48" t="str">
        <f t="shared" si="13"/>
        <v/>
      </c>
      <c r="Z19" s="48" t="str">
        <f t="shared" si="14"/>
        <v/>
      </c>
      <c r="AA19" s="48" t="str">
        <f t="shared" si="15"/>
        <v/>
      </c>
      <c r="AB19" s="48" t="str">
        <f t="shared" si="16"/>
        <v/>
      </c>
      <c r="AC19" s="48" t="str">
        <f t="shared" si="17"/>
        <v/>
      </c>
      <c r="AD19" s="48" t="str">
        <f t="shared" si="18"/>
        <v/>
      </c>
      <c r="AE19" s="48" t="str">
        <f t="shared" si="19"/>
        <v/>
      </c>
      <c r="AF19" s="48" t="str">
        <f t="shared" si="20"/>
        <v/>
      </c>
      <c r="AH19" s="2" t="str">
        <f>NaamPraktijk_8</f>
        <v>TestPraktijk 8</v>
      </c>
      <c r="AI19" s="32" t="str">
        <f t="shared" si="21"/>
        <v/>
      </c>
      <c r="AJ19" s="32" t="str">
        <f t="shared" si="22"/>
        <v/>
      </c>
      <c r="AK19" s="32" t="str">
        <f t="shared" si="23"/>
        <v/>
      </c>
      <c r="AL19" s="32" t="str">
        <f t="shared" si="24"/>
        <v/>
      </c>
      <c r="AM19" s="32" t="str">
        <f t="shared" si="25"/>
        <v/>
      </c>
      <c r="AN19" s="32" t="str">
        <f t="shared" si="26"/>
        <v/>
      </c>
      <c r="AO19" s="32" t="str">
        <f t="shared" si="27"/>
        <v/>
      </c>
      <c r="AP19" s="32" t="str">
        <f t="shared" si="28"/>
        <v/>
      </c>
      <c r="AQ19" s="32" t="str">
        <f t="shared" si="29"/>
        <v/>
      </c>
      <c r="AR19" s="32">
        <f t="shared" si="30"/>
        <v>0</v>
      </c>
    </row>
    <row r="20" spans="2:44" x14ac:dyDescent="0.5">
      <c r="B20" s="2" t="s">
        <v>152</v>
      </c>
      <c r="C20" s="31">
        <f>Mogelijke_activiteiten_buiten_IGO___zorggroep___…___echscopie_Algemene_termijnecho_om_de_zwangerschapsduur_te_bepalen</f>
        <v>0</v>
      </c>
      <c r="D20" s="32">
        <f>Mogelijke_activiteiten_buiten_IGO___zorggroep___…___echscopie_Kosten_Algemene_termijnecho_om_de_zwangerschapsduur_te_bepalen</f>
        <v>48.62</v>
      </c>
      <c r="E20" s="32">
        <f t="shared" ref="E20:E25" si="31">C20*D20</f>
        <v>0</v>
      </c>
      <c r="L20" s="2" t="str">
        <f>NaamPraktijk_9</f>
        <v>TestPraktijk 9</v>
      </c>
      <c r="M20" s="31">
        <f>'Invoertabblad - geleverde zorg'!J21</f>
        <v>0</v>
      </c>
      <c r="N20" s="31">
        <f>'Invoertabblad - geleverde zorg'!K21</f>
        <v>0</v>
      </c>
      <c r="O20" s="31">
        <f>'Invoertabblad - geleverde zorg'!L21</f>
        <v>0</v>
      </c>
      <c r="P20" s="31">
        <f>'Invoertabblad - geleverde zorg'!M21</f>
        <v>0</v>
      </c>
      <c r="Q20" s="31">
        <f>'Invoertabblad - geleverde zorg'!N21</f>
        <v>0</v>
      </c>
      <c r="R20" s="31">
        <f>'Invoertabblad - geleverde zorg'!O21</f>
        <v>0</v>
      </c>
      <c r="S20" s="31">
        <f>'Invoertabblad - geleverde zorg'!P21</f>
        <v>0</v>
      </c>
      <c r="T20" s="31">
        <f>'Invoertabblad - geleverde zorg'!Q21</f>
        <v>0</v>
      </c>
      <c r="U20" s="31">
        <f>'Invoertabblad - geleverde zorg'!R21</f>
        <v>0</v>
      </c>
      <c r="W20" s="2" t="str">
        <f>NaamPraktijk_9</f>
        <v>TestPraktijk 9</v>
      </c>
      <c r="X20" s="48" t="str">
        <f t="shared" si="12"/>
        <v/>
      </c>
      <c r="Y20" s="48" t="str">
        <f t="shared" si="13"/>
        <v/>
      </c>
      <c r="Z20" s="48" t="str">
        <f t="shared" si="14"/>
        <v/>
      </c>
      <c r="AA20" s="48" t="str">
        <f t="shared" si="15"/>
        <v/>
      </c>
      <c r="AB20" s="48" t="str">
        <f t="shared" si="16"/>
        <v/>
      </c>
      <c r="AC20" s="48" t="str">
        <f t="shared" si="17"/>
        <v/>
      </c>
      <c r="AD20" s="48" t="str">
        <f t="shared" si="18"/>
        <v/>
      </c>
      <c r="AE20" s="48" t="str">
        <f t="shared" si="19"/>
        <v/>
      </c>
      <c r="AF20" s="48" t="str">
        <f t="shared" si="20"/>
        <v/>
      </c>
      <c r="AH20" s="2" t="str">
        <f>NaamPraktijk_9</f>
        <v>TestPraktijk 9</v>
      </c>
      <c r="AI20" s="32" t="str">
        <f t="shared" si="21"/>
        <v/>
      </c>
      <c r="AJ20" s="32" t="str">
        <f t="shared" si="22"/>
        <v/>
      </c>
      <c r="AK20" s="32" t="str">
        <f t="shared" si="23"/>
        <v/>
      </c>
      <c r="AL20" s="32" t="str">
        <f t="shared" si="24"/>
        <v/>
      </c>
      <c r="AM20" s="32" t="str">
        <f t="shared" si="25"/>
        <v/>
      </c>
      <c r="AN20" s="32" t="str">
        <f t="shared" si="26"/>
        <v/>
      </c>
      <c r="AO20" s="32" t="str">
        <f t="shared" si="27"/>
        <v/>
      </c>
      <c r="AP20" s="32" t="str">
        <f t="shared" si="28"/>
        <v/>
      </c>
      <c r="AQ20" s="32" t="str">
        <f t="shared" si="29"/>
        <v/>
      </c>
      <c r="AR20" s="32">
        <f t="shared" si="30"/>
        <v>0</v>
      </c>
    </row>
    <row r="21" spans="2:44" x14ac:dyDescent="0.5">
      <c r="B21" s="2" t="s">
        <v>149</v>
      </c>
      <c r="C21" s="31">
        <f>Mogelijke_activiteiten_buiten_IGO___zorggroep___…___echscopie_Specifieke_diagnose_echo</f>
        <v>0</v>
      </c>
      <c r="D21" s="32">
        <f>Mogelijke_activiteiten_buiten_IGO___zorggroep___…___echscopie_Kosten_Specifieke_diagnose_echo</f>
        <v>40.520000000000003</v>
      </c>
      <c r="E21" s="32">
        <f t="shared" si="31"/>
        <v>0</v>
      </c>
      <c r="L21" s="2" t="str">
        <f>NaamPraktijk_10</f>
        <v>TestPraktijk 10</v>
      </c>
      <c r="M21" s="31">
        <f>'Invoertabblad - geleverde zorg'!J22</f>
        <v>0</v>
      </c>
      <c r="N21" s="31">
        <f>'Invoertabblad - geleverde zorg'!K22</f>
        <v>0</v>
      </c>
      <c r="O21" s="31">
        <f>'Invoertabblad - geleverde zorg'!L22</f>
        <v>0</v>
      </c>
      <c r="P21" s="31">
        <f>'Invoertabblad - geleverde zorg'!M22</f>
        <v>0</v>
      </c>
      <c r="Q21" s="31">
        <f>'Invoertabblad - geleverde zorg'!N22</f>
        <v>0</v>
      </c>
      <c r="R21" s="31">
        <f>'Invoertabblad - geleverde zorg'!O22</f>
        <v>0</v>
      </c>
      <c r="S21" s="31">
        <f>'Invoertabblad - geleverde zorg'!P22</f>
        <v>0</v>
      </c>
      <c r="T21" s="31">
        <f>'Invoertabblad - geleverde zorg'!Q22</f>
        <v>0</v>
      </c>
      <c r="U21" s="31">
        <f>'Invoertabblad - geleverde zorg'!R22</f>
        <v>0</v>
      </c>
      <c r="W21" s="2" t="str">
        <f>NaamPraktijk_10</f>
        <v>TestPraktijk 10</v>
      </c>
      <c r="X21" s="48" t="str">
        <f t="shared" si="12"/>
        <v/>
      </c>
      <c r="Y21" s="48" t="str">
        <f t="shared" si="13"/>
        <v/>
      </c>
      <c r="Z21" s="48" t="str">
        <f t="shared" si="14"/>
        <v/>
      </c>
      <c r="AA21" s="48" t="str">
        <f t="shared" si="15"/>
        <v/>
      </c>
      <c r="AB21" s="48" t="str">
        <f t="shared" si="16"/>
        <v/>
      </c>
      <c r="AC21" s="48" t="str">
        <f t="shared" si="17"/>
        <v/>
      </c>
      <c r="AD21" s="48" t="str">
        <f t="shared" si="18"/>
        <v/>
      </c>
      <c r="AE21" s="48" t="str">
        <f t="shared" si="19"/>
        <v/>
      </c>
      <c r="AF21" s="48" t="str">
        <f t="shared" si="20"/>
        <v/>
      </c>
      <c r="AH21" s="2" t="str">
        <f>NaamPraktijk_10</f>
        <v>TestPraktijk 10</v>
      </c>
      <c r="AI21" s="32" t="str">
        <f t="shared" si="21"/>
        <v/>
      </c>
      <c r="AJ21" s="32" t="str">
        <f t="shared" si="22"/>
        <v/>
      </c>
      <c r="AK21" s="32" t="str">
        <f t="shared" si="23"/>
        <v/>
      </c>
      <c r="AL21" s="32" t="str">
        <f t="shared" si="24"/>
        <v/>
      </c>
      <c r="AM21" s="32" t="str">
        <f t="shared" si="25"/>
        <v/>
      </c>
      <c r="AN21" s="32" t="str">
        <f t="shared" si="26"/>
        <v/>
      </c>
      <c r="AO21" s="32" t="str">
        <f t="shared" si="27"/>
        <v/>
      </c>
      <c r="AP21" s="32" t="str">
        <f t="shared" si="28"/>
        <v/>
      </c>
      <c r="AQ21" s="32" t="str">
        <f t="shared" si="29"/>
        <v/>
      </c>
      <c r="AR21" s="32">
        <f t="shared" si="30"/>
        <v>0</v>
      </c>
    </row>
    <row r="22" spans="2:44" x14ac:dyDescent="0.5">
      <c r="B22" s="2" t="s">
        <v>211</v>
      </c>
      <c r="C22" s="31">
        <f>Mogelijke_activiteiten_buiten_IGO___zorggroep___…___echscopie_Prenatale_screening_TTSEO___bij_eenlingen_en_bij_het_eerste_kind_van_een_meerlingenzwangerschap</f>
        <v>0</v>
      </c>
      <c r="D22" s="32">
        <f>Mogelijke_activiteiten_buiten_IGO___zorggroep___…___echscopie_Kosten_Prenatale_screening_TTSEO___bij_eenlingen_en_bij_het_eerste_kind_van_een_meerlingenzwangerschap</f>
        <v>163.83000000000001</v>
      </c>
      <c r="E22" s="32">
        <f t="shared" si="31"/>
        <v>0</v>
      </c>
      <c r="L22" s="2" t="str">
        <f>NaamPraktijk_11</f>
        <v>TestPraktijk 11</v>
      </c>
      <c r="M22" s="31">
        <f>'Invoertabblad - geleverde zorg'!J23</f>
        <v>0</v>
      </c>
      <c r="N22" s="31">
        <f>'Invoertabblad - geleverde zorg'!K23</f>
        <v>0</v>
      </c>
      <c r="O22" s="31">
        <f>'Invoertabblad - geleverde zorg'!L23</f>
        <v>0</v>
      </c>
      <c r="P22" s="31">
        <f>'Invoertabblad - geleverde zorg'!M23</f>
        <v>0</v>
      </c>
      <c r="Q22" s="31">
        <f>'Invoertabblad - geleverde zorg'!N23</f>
        <v>0</v>
      </c>
      <c r="R22" s="31">
        <f>'Invoertabblad - geleverde zorg'!O23</f>
        <v>0</v>
      </c>
      <c r="S22" s="31">
        <f>'Invoertabblad - geleverde zorg'!P23</f>
        <v>0</v>
      </c>
      <c r="T22" s="31">
        <f>'Invoertabblad - geleverde zorg'!Q23</f>
        <v>0</v>
      </c>
      <c r="U22" s="31">
        <f>'Invoertabblad - geleverde zorg'!R23</f>
        <v>0</v>
      </c>
      <c r="W22" s="2" t="str">
        <f>NaamPraktijk_11</f>
        <v>TestPraktijk 11</v>
      </c>
      <c r="X22" s="48" t="str">
        <f t="shared" si="12"/>
        <v/>
      </c>
      <c r="Y22" s="48" t="str">
        <f t="shared" si="13"/>
        <v/>
      </c>
      <c r="Z22" s="48" t="str">
        <f t="shared" si="14"/>
        <v/>
      </c>
      <c r="AA22" s="48" t="str">
        <f t="shared" si="15"/>
        <v/>
      </c>
      <c r="AB22" s="48" t="str">
        <f t="shared" si="16"/>
        <v/>
      </c>
      <c r="AC22" s="48" t="str">
        <f t="shared" si="17"/>
        <v/>
      </c>
      <c r="AD22" s="48" t="str">
        <f t="shared" si="18"/>
        <v/>
      </c>
      <c r="AE22" s="48" t="str">
        <f t="shared" si="19"/>
        <v/>
      </c>
      <c r="AF22" s="48" t="str">
        <f t="shared" si="20"/>
        <v/>
      </c>
      <c r="AH22" s="2" t="str">
        <f>NaamPraktijk_11</f>
        <v>TestPraktijk 11</v>
      </c>
      <c r="AI22" s="32" t="str">
        <f t="shared" si="21"/>
        <v/>
      </c>
      <c r="AJ22" s="32" t="str">
        <f t="shared" si="22"/>
        <v/>
      </c>
      <c r="AK22" s="32" t="str">
        <f t="shared" si="23"/>
        <v/>
      </c>
      <c r="AL22" s="32" t="str">
        <f t="shared" si="24"/>
        <v/>
      </c>
      <c r="AM22" s="32" t="str">
        <f t="shared" si="25"/>
        <v/>
      </c>
      <c r="AN22" s="32" t="str">
        <f t="shared" si="26"/>
        <v/>
      </c>
      <c r="AO22" s="32" t="str">
        <f t="shared" si="27"/>
        <v/>
      </c>
      <c r="AP22" s="32" t="str">
        <f t="shared" si="28"/>
        <v/>
      </c>
      <c r="AQ22" s="32" t="str">
        <f t="shared" si="29"/>
        <v/>
      </c>
      <c r="AR22" s="32">
        <f t="shared" si="30"/>
        <v>0</v>
      </c>
    </row>
    <row r="23" spans="2:44" x14ac:dyDescent="0.5">
      <c r="B23" s="2" t="s">
        <v>214</v>
      </c>
      <c r="C23" s="31">
        <f>Mogelijke_activiteiten_buiten_IGO___zorggroep___…___echscopie_Prenatale_screening_TTSEO___bij_elk_volgend_kind_van_een_meerlingenzwangerschap</f>
        <v>0</v>
      </c>
      <c r="D23" s="32">
        <f>Mogelijke_activiteiten_buiten_IGO___zorggroep___…___echscopie_Kosten_Prenatale_screening_TTSEO___bij_elk_volgend_kind_van_een_meerlingenzwangerschap</f>
        <v>163.83000000000001</v>
      </c>
      <c r="E23" s="32">
        <f t="shared" si="31"/>
        <v>0</v>
      </c>
      <c r="L23" s="2" t="str">
        <f>NaamPraktijk_12</f>
        <v>TestPraktijk 12</v>
      </c>
      <c r="M23" s="31">
        <f>'Invoertabblad - geleverde zorg'!J24</f>
        <v>0</v>
      </c>
      <c r="N23" s="31">
        <f>'Invoertabblad - geleverde zorg'!K24</f>
        <v>0</v>
      </c>
      <c r="O23" s="31">
        <f>'Invoertabblad - geleverde zorg'!L24</f>
        <v>0</v>
      </c>
      <c r="P23" s="31">
        <f>'Invoertabblad - geleverde zorg'!M24</f>
        <v>0</v>
      </c>
      <c r="Q23" s="31">
        <f>'Invoertabblad - geleverde zorg'!N24</f>
        <v>0</v>
      </c>
      <c r="R23" s="31">
        <f>'Invoertabblad - geleverde zorg'!O24</f>
        <v>0</v>
      </c>
      <c r="S23" s="31">
        <f>'Invoertabblad - geleverde zorg'!P24</f>
        <v>0</v>
      </c>
      <c r="T23" s="31">
        <f>'Invoertabblad - geleverde zorg'!Q24</f>
        <v>0</v>
      </c>
      <c r="U23" s="31">
        <f>'Invoertabblad - geleverde zorg'!R24</f>
        <v>0</v>
      </c>
      <c r="W23" s="2" t="str">
        <f>NaamPraktijk_12</f>
        <v>TestPraktijk 12</v>
      </c>
      <c r="X23" s="48" t="str">
        <f t="shared" si="12"/>
        <v/>
      </c>
      <c r="Y23" s="48" t="str">
        <f t="shared" si="13"/>
        <v/>
      </c>
      <c r="Z23" s="48" t="str">
        <f t="shared" si="14"/>
        <v/>
      </c>
      <c r="AA23" s="48" t="str">
        <f t="shared" si="15"/>
        <v/>
      </c>
      <c r="AB23" s="48" t="str">
        <f t="shared" si="16"/>
        <v/>
      </c>
      <c r="AC23" s="48" t="str">
        <f t="shared" si="17"/>
        <v/>
      </c>
      <c r="AD23" s="48" t="str">
        <f t="shared" si="18"/>
        <v/>
      </c>
      <c r="AE23" s="48" t="str">
        <f t="shared" si="19"/>
        <v/>
      </c>
      <c r="AF23" s="48" t="str">
        <f t="shared" si="20"/>
        <v/>
      </c>
      <c r="AH23" s="2" t="str">
        <f>NaamPraktijk_12</f>
        <v>TestPraktijk 12</v>
      </c>
      <c r="AI23" s="32" t="str">
        <f t="shared" si="21"/>
        <v/>
      </c>
      <c r="AJ23" s="32" t="str">
        <f t="shared" si="22"/>
        <v/>
      </c>
      <c r="AK23" s="32" t="str">
        <f t="shared" si="23"/>
        <v/>
      </c>
      <c r="AL23" s="32" t="str">
        <f t="shared" si="24"/>
        <v/>
      </c>
      <c r="AM23" s="32" t="str">
        <f t="shared" si="25"/>
        <v/>
      </c>
      <c r="AN23" s="32" t="str">
        <f t="shared" si="26"/>
        <v/>
      </c>
      <c r="AO23" s="32" t="str">
        <f t="shared" si="27"/>
        <v/>
      </c>
      <c r="AP23" s="32" t="str">
        <f t="shared" si="28"/>
        <v/>
      </c>
      <c r="AQ23" s="32" t="str">
        <f t="shared" si="29"/>
        <v/>
      </c>
      <c r="AR23" s="32">
        <f t="shared" si="30"/>
        <v>0</v>
      </c>
    </row>
    <row r="24" spans="2:44" x14ac:dyDescent="0.5">
      <c r="B24" s="2" t="s">
        <v>207</v>
      </c>
      <c r="C24" s="31">
        <f>Mogelijke_activiteiten_buiten_IGO___zorggroep___…___echscopie_Nt_meting___bij_eenlingen_en_bij_het_eerste_kind_van_een_meerlingenzwangerschap</f>
        <v>0</v>
      </c>
      <c r="D24" s="32">
        <f>Mogelijke_activiteiten_buiten_IGO___zorggroep___…___echscopie_Kosten___Nt_meting___bij_eenlingen_en_bij_het_eerste_kind_van_een_meerlingenzwangerschap</f>
        <v>188.06</v>
      </c>
      <c r="E24" s="32">
        <f t="shared" si="31"/>
        <v>0</v>
      </c>
      <c r="L24" s="2" t="str">
        <f>NaamPraktijk_13</f>
        <v>TestPraktijk 13</v>
      </c>
      <c r="M24" s="31">
        <f>'Invoertabblad - geleverde zorg'!J25</f>
        <v>0</v>
      </c>
      <c r="N24" s="31">
        <f>'Invoertabblad - geleverde zorg'!K25</f>
        <v>0</v>
      </c>
      <c r="O24" s="31">
        <f>'Invoertabblad - geleverde zorg'!L25</f>
        <v>0</v>
      </c>
      <c r="P24" s="31">
        <f>'Invoertabblad - geleverde zorg'!M25</f>
        <v>0</v>
      </c>
      <c r="Q24" s="31">
        <f>'Invoertabblad - geleverde zorg'!N25</f>
        <v>0</v>
      </c>
      <c r="R24" s="31">
        <f>'Invoertabblad - geleverde zorg'!O25</f>
        <v>0</v>
      </c>
      <c r="S24" s="31">
        <f>'Invoertabblad - geleverde zorg'!P25</f>
        <v>0</v>
      </c>
      <c r="T24" s="31">
        <f>'Invoertabblad - geleverde zorg'!Q25</f>
        <v>0</v>
      </c>
      <c r="U24" s="31">
        <f>'Invoertabblad - geleverde zorg'!R25</f>
        <v>0</v>
      </c>
      <c r="W24" s="2" t="str">
        <f>NaamPraktijk_13</f>
        <v>TestPraktijk 13</v>
      </c>
      <c r="X24" s="48" t="str">
        <f t="shared" si="12"/>
        <v/>
      </c>
      <c r="Y24" s="48" t="str">
        <f t="shared" si="13"/>
        <v/>
      </c>
      <c r="Z24" s="48" t="str">
        <f t="shared" si="14"/>
        <v/>
      </c>
      <c r="AA24" s="48" t="str">
        <f t="shared" si="15"/>
        <v/>
      </c>
      <c r="AB24" s="48" t="str">
        <f t="shared" si="16"/>
        <v/>
      </c>
      <c r="AC24" s="48" t="str">
        <f t="shared" si="17"/>
        <v/>
      </c>
      <c r="AD24" s="48" t="str">
        <f t="shared" si="18"/>
        <v/>
      </c>
      <c r="AE24" s="48" t="str">
        <f t="shared" si="19"/>
        <v/>
      </c>
      <c r="AF24" s="48" t="str">
        <f t="shared" si="20"/>
        <v/>
      </c>
      <c r="AH24" s="2" t="str">
        <f>NaamPraktijk_13</f>
        <v>TestPraktijk 13</v>
      </c>
      <c r="AI24" s="32" t="str">
        <f t="shared" si="21"/>
        <v/>
      </c>
      <c r="AJ24" s="32" t="str">
        <f t="shared" si="22"/>
        <v/>
      </c>
      <c r="AK24" s="32" t="str">
        <f t="shared" si="23"/>
        <v/>
      </c>
      <c r="AL24" s="32" t="str">
        <f t="shared" si="24"/>
        <v/>
      </c>
      <c r="AM24" s="32" t="str">
        <f t="shared" si="25"/>
        <v/>
      </c>
      <c r="AN24" s="32" t="str">
        <f t="shared" si="26"/>
        <v/>
      </c>
      <c r="AO24" s="32" t="str">
        <f t="shared" si="27"/>
        <v/>
      </c>
      <c r="AP24" s="32" t="str">
        <f t="shared" si="28"/>
        <v/>
      </c>
      <c r="AQ24" s="32" t="str">
        <f t="shared" si="29"/>
        <v/>
      </c>
      <c r="AR24" s="32">
        <f t="shared" si="30"/>
        <v>0</v>
      </c>
    </row>
    <row r="25" spans="2:44" ht="17.5" thickBot="1" x14ac:dyDescent="0.55000000000000004">
      <c r="B25" s="27" t="s">
        <v>208</v>
      </c>
      <c r="C25" s="33">
        <f>Mogelijke_activiteiten_buiten_IGO___zorggroep___…___echscopie_Nt_meting___bij_elk_volgend_kind_van_een_meerlingenzwangerschap</f>
        <v>0</v>
      </c>
      <c r="D25" s="34">
        <f>Mogelijke_activiteiten_buiten_IGO___zorggroep___…___echscopie_Kosten_Nt_meting___bij_elk_volgend_kind_van_een_meerlingenzwangerschap</f>
        <v>113.45</v>
      </c>
      <c r="E25" s="34">
        <f t="shared" si="31"/>
        <v>0</v>
      </c>
      <c r="L25" s="2" t="str">
        <f>NaamPraktijk_14</f>
        <v>TestPraktijk 14</v>
      </c>
      <c r="M25" s="31">
        <f>'Invoertabblad - geleverde zorg'!J26</f>
        <v>0</v>
      </c>
      <c r="N25" s="31">
        <f>'Invoertabblad - geleverde zorg'!K26</f>
        <v>0</v>
      </c>
      <c r="O25" s="31">
        <f>'Invoertabblad - geleverde zorg'!L26</f>
        <v>0</v>
      </c>
      <c r="P25" s="31">
        <f>'Invoertabblad - geleverde zorg'!M26</f>
        <v>0</v>
      </c>
      <c r="Q25" s="31">
        <f>'Invoertabblad - geleverde zorg'!N26</f>
        <v>0</v>
      </c>
      <c r="R25" s="31">
        <f>'Invoertabblad - geleverde zorg'!O26</f>
        <v>0</v>
      </c>
      <c r="S25" s="31">
        <f>'Invoertabblad - geleverde zorg'!P26</f>
        <v>0</v>
      </c>
      <c r="T25" s="31">
        <f>'Invoertabblad - geleverde zorg'!Q26</f>
        <v>0</v>
      </c>
      <c r="U25" s="31">
        <f>'Invoertabblad - geleverde zorg'!R26</f>
        <v>0</v>
      </c>
      <c r="W25" s="2" t="str">
        <f>NaamPraktijk_14</f>
        <v>TestPraktijk 14</v>
      </c>
      <c r="X25" s="48" t="str">
        <f t="shared" si="12"/>
        <v/>
      </c>
      <c r="Y25" s="48" t="str">
        <f t="shared" si="13"/>
        <v/>
      </c>
      <c r="Z25" s="48" t="str">
        <f t="shared" si="14"/>
        <v/>
      </c>
      <c r="AA25" s="48" t="str">
        <f t="shared" si="15"/>
        <v/>
      </c>
      <c r="AB25" s="48" t="str">
        <f t="shared" si="16"/>
        <v/>
      </c>
      <c r="AC25" s="48" t="str">
        <f t="shared" si="17"/>
        <v/>
      </c>
      <c r="AD25" s="48" t="str">
        <f t="shared" si="18"/>
        <v/>
      </c>
      <c r="AE25" s="48" t="str">
        <f t="shared" si="19"/>
        <v/>
      </c>
      <c r="AF25" s="48" t="str">
        <f t="shared" si="20"/>
        <v/>
      </c>
      <c r="AH25" s="2" t="str">
        <f>NaamPraktijk_14</f>
        <v>TestPraktijk 14</v>
      </c>
      <c r="AI25" s="32" t="str">
        <f t="shared" si="21"/>
        <v/>
      </c>
      <c r="AJ25" s="32" t="str">
        <f t="shared" si="22"/>
        <v/>
      </c>
      <c r="AK25" s="32" t="str">
        <f t="shared" si="23"/>
        <v/>
      </c>
      <c r="AL25" s="32" t="str">
        <f t="shared" si="24"/>
        <v/>
      </c>
      <c r="AM25" s="32" t="str">
        <f t="shared" si="25"/>
        <v/>
      </c>
      <c r="AN25" s="32" t="str">
        <f t="shared" si="26"/>
        <v/>
      </c>
      <c r="AO25" s="32" t="str">
        <f t="shared" si="27"/>
        <v/>
      </c>
      <c r="AP25" s="32" t="str">
        <f t="shared" si="28"/>
        <v/>
      </c>
      <c r="AQ25" s="32" t="str">
        <f t="shared" si="29"/>
        <v/>
      </c>
      <c r="AR25" s="32">
        <f t="shared" si="30"/>
        <v>0</v>
      </c>
    </row>
    <row r="26" spans="2:44" ht="17.5" thickBot="1" x14ac:dyDescent="0.55000000000000004">
      <c r="B26" s="28" t="s">
        <v>145</v>
      </c>
      <c r="C26" s="74" t="s">
        <v>129</v>
      </c>
      <c r="D26" s="74" t="s">
        <v>129</v>
      </c>
      <c r="E26" s="35">
        <f>SUM(E20:E25)</f>
        <v>0</v>
      </c>
      <c r="L26" s="2" t="str">
        <f>NaamPraktijk_15</f>
        <v>TestPraktijk 15</v>
      </c>
      <c r="M26" s="31">
        <f>'Invoertabblad - geleverde zorg'!J27</f>
        <v>0</v>
      </c>
      <c r="N26" s="31">
        <f>'Invoertabblad - geleverde zorg'!K27</f>
        <v>0</v>
      </c>
      <c r="O26" s="31">
        <f>'Invoertabblad - geleverde zorg'!L27</f>
        <v>0</v>
      </c>
      <c r="P26" s="31">
        <f>'Invoertabblad - geleverde zorg'!M27</f>
        <v>0</v>
      </c>
      <c r="Q26" s="31">
        <f>'Invoertabblad - geleverde zorg'!N27</f>
        <v>0</v>
      </c>
      <c r="R26" s="31">
        <f>'Invoertabblad - geleverde zorg'!O27</f>
        <v>0</v>
      </c>
      <c r="S26" s="31">
        <f>'Invoertabblad - geleverde zorg'!P27</f>
        <v>0</v>
      </c>
      <c r="T26" s="31">
        <f>'Invoertabblad - geleverde zorg'!Q27</f>
        <v>0</v>
      </c>
      <c r="U26" s="31">
        <f>'Invoertabblad - geleverde zorg'!R27</f>
        <v>0</v>
      </c>
      <c r="W26" s="2" t="str">
        <f>NaamPraktijk_15</f>
        <v>TestPraktijk 15</v>
      </c>
      <c r="X26" s="48" t="str">
        <f t="shared" si="12"/>
        <v/>
      </c>
      <c r="Y26" s="48" t="str">
        <f t="shared" si="13"/>
        <v/>
      </c>
      <c r="Z26" s="48" t="str">
        <f t="shared" si="14"/>
        <v/>
      </c>
      <c r="AA26" s="48" t="str">
        <f t="shared" si="15"/>
        <v/>
      </c>
      <c r="AB26" s="48" t="str">
        <f t="shared" si="16"/>
        <v/>
      </c>
      <c r="AC26" s="48" t="str">
        <f t="shared" si="17"/>
        <v/>
      </c>
      <c r="AD26" s="48" t="str">
        <f t="shared" si="18"/>
        <v/>
      </c>
      <c r="AE26" s="48" t="str">
        <f t="shared" si="19"/>
        <v/>
      </c>
      <c r="AF26" s="48" t="str">
        <f t="shared" si="20"/>
        <v/>
      </c>
      <c r="AH26" s="2" t="str">
        <f>NaamPraktijk_15</f>
        <v>TestPraktijk 15</v>
      </c>
      <c r="AI26" s="32" t="str">
        <f t="shared" si="21"/>
        <v/>
      </c>
      <c r="AJ26" s="32" t="str">
        <f t="shared" si="22"/>
        <v/>
      </c>
      <c r="AK26" s="32" t="str">
        <f t="shared" si="23"/>
        <v/>
      </c>
      <c r="AL26" s="32" t="str">
        <f t="shared" si="24"/>
        <v/>
      </c>
      <c r="AM26" s="32" t="str">
        <f t="shared" si="25"/>
        <v/>
      </c>
      <c r="AN26" s="32" t="str">
        <f t="shared" si="26"/>
        <v/>
      </c>
      <c r="AO26" s="32" t="str">
        <f t="shared" si="27"/>
        <v/>
      </c>
      <c r="AP26" s="32" t="str">
        <f t="shared" si="28"/>
        <v/>
      </c>
      <c r="AQ26" s="32" t="str">
        <f t="shared" si="29"/>
        <v/>
      </c>
      <c r="AR26" s="32">
        <f t="shared" si="30"/>
        <v>0</v>
      </c>
    </row>
    <row r="27" spans="2:44" x14ac:dyDescent="0.5">
      <c r="L27" s="57" t="s">
        <v>388</v>
      </c>
      <c r="M27" s="58">
        <f>SUM(M12:M26)</f>
        <v>0</v>
      </c>
      <c r="N27" s="58">
        <f t="shared" ref="N27:U27" si="32">SUM(N12:N26)</f>
        <v>0</v>
      </c>
      <c r="O27" s="58">
        <f t="shared" si="32"/>
        <v>0</v>
      </c>
      <c r="P27" s="58">
        <f t="shared" si="32"/>
        <v>0</v>
      </c>
      <c r="Q27" s="58">
        <f t="shared" si="32"/>
        <v>0</v>
      </c>
      <c r="R27" s="58">
        <f t="shared" si="32"/>
        <v>0</v>
      </c>
      <c r="S27" s="58">
        <f t="shared" si="32"/>
        <v>0</v>
      </c>
      <c r="T27" s="58">
        <f t="shared" si="32"/>
        <v>0</v>
      </c>
      <c r="U27" s="58">
        <f t="shared" si="32"/>
        <v>0</v>
      </c>
      <c r="W27" s="50" t="s">
        <v>145</v>
      </c>
      <c r="X27" s="60">
        <f>SUM(X12:X26)</f>
        <v>0</v>
      </c>
      <c r="Y27" s="60">
        <f t="shared" ref="Y27:AE27" si="33">SUM(Y12:Y26)</f>
        <v>0</v>
      </c>
      <c r="Z27" s="60">
        <f t="shared" si="33"/>
        <v>0</v>
      </c>
      <c r="AA27" s="60">
        <f t="shared" si="33"/>
        <v>0</v>
      </c>
      <c r="AB27" s="60">
        <f t="shared" si="33"/>
        <v>0</v>
      </c>
      <c r="AC27" s="60">
        <f t="shared" si="33"/>
        <v>0</v>
      </c>
      <c r="AD27" s="60">
        <f t="shared" si="33"/>
        <v>0</v>
      </c>
      <c r="AE27" s="60">
        <f t="shared" si="33"/>
        <v>0</v>
      </c>
      <c r="AF27" s="60"/>
      <c r="AH27" s="50" t="s">
        <v>389</v>
      </c>
      <c r="AI27" s="59" t="e">
        <f>VLOOKUP(AI$6,$B$47:$C$57,2,0)</f>
        <v>#DIV/0!</v>
      </c>
      <c r="AJ27" s="59" t="e">
        <f t="shared" ref="AJ27:AQ27" si="34">VLOOKUP(AJ$6,$B$47:$C$57,2,0)</f>
        <v>#DIV/0!</v>
      </c>
      <c r="AK27" s="59" t="e">
        <f t="shared" si="34"/>
        <v>#DIV/0!</v>
      </c>
      <c r="AL27" s="59" t="e">
        <f t="shared" si="34"/>
        <v>#DIV/0!</v>
      </c>
      <c r="AM27" s="59" t="e">
        <f t="shared" si="34"/>
        <v>#DIV/0!</v>
      </c>
      <c r="AN27" s="59" t="e">
        <f t="shared" si="34"/>
        <v>#DIV/0!</v>
      </c>
      <c r="AO27" s="59" t="e">
        <f t="shared" si="34"/>
        <v>#DIV/0!</v>
      </c>
      <c r="AP27" s="59" t="e">
        <f t="shared" si="34"/>
        <v>#DIV/0!</v>
      </c>
      <c r="AQ27" s="59" t="e">
        <f t="shared" si="34"/>
        <v>#DIV/0!</v>
      </c>
      <c r="AR27" s="59" t="e">
        <f t="shared" si="30"/>
        <v>#DIV/0!</v>
      </c>
    </row>
    <row r="28" spans="2:44" x14ac:dyDescent="0.5">
      <c r="B28" s="1" t="s">
        <v>297</v>
      </c>
      <c r="L28" s="1" t="s">
        <v>196</v>
      </c>
      <c r="M28" s="4"/>
      <c r="N28" s="4"/>
      <c r="O28" s="4"/>
      <c r="P28" s="4"/>
      <c r="Q28" s="4"/>
      <c r="R28" s="4"/>
      <c r="S28" s="4"/>
      <c r="T28" s="4"/>
      <c r="U28" s="4"/>
      <c r="W28" s="1" t="s">
        <v>196</v>
      </c>
      <c r="X28" s="4"/>
      <c r="Y28" s="4"/>
      <c r="Z28" s="4"/>
      <c r="AA28" s="4"/>
      <c r="AB28" s="4"/>
      <c r="AC28" s="4"/>
      <c r="AD28" s="4"/>
      <c r="AE28" s="4"/>
      <c r="AF28" s="4"/>
      <c r="AH28" s="1" t="s">
        <v>196</v>
      </c>
      <c r="AI28" s="4"/>
      <c r="AJ28" s="4"/>
      <c r="AK28" s="4"/>
      <c r="AL28" s="4"/>
      <c r="AM28" s="4"/>
      <c r="AN28" s="4"/>
      <c r="AO28" s="4"/>
      <c r="AP28" s="4"/>
      <c r="AQ28" s="4"/>
      <c r="AR28" s="4"/>
    </row>
    <row r="29" spans="2:44" x14ac:dyDescent="0.5">
      <c r="B29" s="71" t="s">
        <v>205</v>
      </c>
      <c r="C29" s="73" t="s">
        <v>127</v>
      </c>
      <c r="D29" s="73" t="s">
        <v>206</v>
      </c>
      <c r="E29" s="73" t="s">
        <v>220</v>
      </c>
      <c r="L29" s="2" t="str">
        <f>NaamKraamzorgorganisatie_1</f>
        <v>TestKraamzorgorganisatie 1</v>
      </c>
      <c r="M29" s="31">
        <f>'Invoertabblad - geleverde zorg'!J30</f>
        <v>0</v>
      </c>
      <c r="N29" s="31">
        <f>'Invoertabblad - geleverde zorg'!K30</f>
        <v>0</v>
      </c>
      <c r="O29" s="31">
        <f>'Invoertabblad - geleverde zorg'!L30</f>
        <v>0</v>
      </c>
      <c r="P29" s="31">
        <f>'Invoertabblad - geleverde zorg'!M30</f>
        <v>0</v>
      </c>
      <c r="Q29" s="31">
        <f>'Invoertabblad - geleverde zorg'!N30</f>
        <v>0</v>
      </c>
      <c r="R29" s="31">
        <f>'Invoertabblad - geleverde zorg'!O30</f>
        <v>0</v>
      </c>
      <c r="S29" s="31">
        <f>'Invoertabblad - geleverde zorg'!P30</f>
        <v>0</v>
      </c>
      <c r="T29" s="31">
        <f>'Invoertabblad - geleverde zorg'!Q30</f>
        <v>0</v>
      </c>
      <c r="U29" s="31">
        <f>'Invoertabblad - geleverde zorg'!R30</f>
        <v>0</v>
      </c>
      <c r="W29" s="2" t="str">
        <f>NaamKraamzorgorganisatie_1</f>
        <v>TestKraamzorgorganisatie 1</v>
      </c>
      <c r="X29" s="48" t="str">
        <f t="shared" ref="X29:AF33" si="35">IFERROR(M29/M$34,"")</f>
        <v/>
      </c>
      <c r="Y29" s="48" t="str">
        <f t="shared" si="35"/>
        <v/>
      </c>
      <c r="Z29" s="48" t="str">
        <f t="shared" si="35"/>
        <v/>
      </c>
      <c r="AA29" s="48" t="str">
        <f t="shared" si="35"/>
        <v/>
      </c>
      <c r="AB29" s="48" t="str">
        <f t="shared" si="35"/>
        <v/>
      </c>
      <c r="AC29" s="48" t="str">
        <f t="shared" si="35"/>
        <v/>
      </c>
      <c r="AD29" s="48" t="str">
        <f t="shared" si="35"/>
        <v/>
      </c>
      <c r="AE29" s="48" t="str">
        <f t="shared" si="35"/>
        <v/>
      </c>
      <c r="AF29" s="48" t="str">
        <f t="shared" si="35"/>
        <v/>
      </c>
      <c r="AH29" s="2" t="str">
        <f>NaamKraamzorgorganisatie_1</f>
        <v>TestKraamzorgorganisatie 1</v>
      </c>
      <c r="AI29" s="32" t="str">
        <f t="shared" ref="AI29:AQ33" si="36">IF(X29="","",X29*AI$34)</f>
        <v/>
      </c>
      <c r="AJ29" s="32" t="str">
        <f t="shared" si="36"/>
        <v/>
      </c>
      <c r="AK29" s="32" t="str">
        <f t="shared" si="36"/>
        <v/>
      </c>
      <c r="AL29" s="32" t="str">
        <f t="shared" si="36"/>
        <v/>
      </c>
      <c r="AM29" s="32" t="str">
        <f t="shared" si="36"/>
        <v/>
      </c>
      <c r="AN29" s="32" t="str">
        <f t="shared" si="36"/>
        <v/>
      </c>
      <c r="AO29" s="32" t="str">
        <f t="shared" si="36"/>
        <v/>
      </c>
      <c r="AP29" s="32" t="str">
        <f t="shared" si="36"/>
        <v/>
      </c>
      <c r="AQ29" s="32" t="str">
        <f t="shared" si="36"/>
        <v/>
      </c>
      <c r="AR29" s="32">
        <f t="shared" ref="AR29:AR34" si="37">SUM(AI29:AQ29)</f>
        <v>0</v>
      </c>
    </row>
    <row r="30" spans="2:44" x14ac:dyDescent="0.5">
      <c r="B30" s="2" t="s">
        <v>216</v>
      </c>
      <c r="C30" s="31">
        <f>Mogelijke_activiteiten_buiten_IGO___zorggroep___…___geboortezorgcentrum_Geboortecentrum</f>
        <v>0</v>
      </c>
      <c r="D30" s="32">
        <f>Mogelijke_activiteiten_buiten_IGO___zorggroep___…___geboortezorgcentrum_Kosten_gebruik_geboortecentrum</f>
        <v>670.45</v>
      </c>
      <c r="E30" s="32">
        <f>C30*D30</f>
        <v>0</v>
      </c>
      <c r="L30" s="2" t="str">
        <f>NaamKraamzorgorganisatie_2</f>
        <v>TestKraamzorgorganisatie 2</v>
      </c>
      <c r="M30" s="31">
        <f>'Invoertabblad - geleverde zorg'!J31</f>
        <v>0</v>
      </c>
      <c r="N30" s="31">
        <f>'Invoertabblad - geleverde zorg'!K31</f>
        <v>0</v>
      </c>
      <c r="O30" s="31">
        <f>'Invoertabblad - geleverde zorg'!L31</f>
        <v>0</v>
      </c>
      <c r="P30" s="31">
        <f>'Invoertabblad - geleverde zorg'!M31</f>
        <v>0</v>
      </c>
      <c r="Q30" s="31">
        <f>'Invoertabblad - geleverde zorg'!N31</f>
        <v>0</v>
      </c>
      <c r="R30" s="31">
        <f>'Invoertabblad - geleverde zorg'!O31</f>
        <v>0</v>
      </c>
      <c r="S30" s="31">
        <f>'Invoertabblad - geleverde zorg'!P31</f>
        <v>0</v>
      </c>
      <c r="T30" s="31">
        <f>'Invoertabblad - geleverde zorg'!Q31</f>
        <v>0</v>
      </c>
      <c r="U30" s="31">
        <f>'Invoertabblad - geleverde zorg'!R31</f>
        <v>0</v>
      </c>
      <c r="W30" s="2" t="str">
        <f>NaamKraamzorgorganisatie_2</f>
        <v>TestKraamzorgorganisatie 2</v>
      </c>
      <c r="X30" s="48" t="str">
        <f t="shared" si="35"/>
        <v/>
      </c>
      <c r="Y30" s="48" t="str">
        <f t="shared" si="35"/>
        <v/>
      </c>
      <c r="Z30" s="48" t="str">
        <f t="shared" si="35"/>
        <v/>
      </c>
      <c r="AA30" s="48" t="str">
        <f t="shared" si="35"/>
        <v/>
      </c>
      <c r="AB30" s="48" t="str">
        <f t="shared" si="35"/>
        <v/>
      </c>
      <c r="AC30" s="48" t="str">
        <f t="shared" si="35"/>
        <v/>
      </c>
      <c r="AD30" s="48" t="str">
        <f t="shared" si="35"/>
        <v/>
      </c>
      <c r="AE30" s="48" t="str">
        <f t="shared" si="35"/>
        <v/>
      </c>
      <c r="AF30" s="48" t="str">
        <f t="shared" si="35"/>
        <v/>
      </c>
      <c r="AH30" s="2" t="str">
        <f>NaamKraamzorgorganisatie_2</f>
        <v>TestKraamzorgorganisatie 2</v>
      </c>
      <c r="AI30" s="32" t="str">
        <f t="shared" si="36"/>
        <v/>
      </c>
      <c r="AJ30" s="32" t="str">
        <f t="shared" si="36"/>
        <v/>
      </c>
      <c r="AK30" s="32" t="str">
        <f t="shared" si="36"/>
        <v/>
      </c>
      <c r="AL30" s="32" t="str">
        <f t="shared" si="36"/>
        <v/>
      </c>
      <c r="AM30" s="32" t="str">
        <f t="shared" si="36"/>
        <v/>
      </c>
      <c r="AN30" s="32" t="str">
        <f t="shared" si="36"/>
        <v/>
      </c>
      <c r="AO30" s="32" t="str">
        <f t="shared" si="36"/>
        <v/>
      </c>
      <c r="AP30" s="32" t="str">
        <f t="shared" si="36"/>
        <v/>
      </c>
      <c r="AQ30" s="32" t="str">
        <f t="shared" si="36"/>
        <v/>
      </c>
      <c r="AR30" s="32">
        <f t="shared" si="37"/>
        <v>0</v>
      </c>
    </row>
    <row r="31" spans="2:44" ht="17.5" thickBot="1" x14ac:dyDescent="0.55000000000000004">
      <c r="B31" s="27" t="s">
        <v>218</v>
      </c>
      <c r="C31" s="33">
        <f>Mogelijke_activiteiten_buiten_IGO___zorggroep___…___geboortezorgcentrum_Geboortecentrum_met_beschikbaarheid_lachgas</f>
        <v>0</v>
      </c>
      <c r="D31" s="34">
        <f>Mogelijke_activiteiten_buiten_IGO___zorggroep___…___geboortezorgcentrum_Kosten_gebruik_geboortecentrum_met_beschikbaarheid_lachgas</f>
        <v>1170.96</v>
      </c>
      <c r="E31" s="34">
        <f>C31*D31</f>
        <v>0</v>
      </c>
      <c r="L31" s="2" t="str">
        <f>NaamKraamzorgorganisatie_3</f>
        <v>TestKraamzorgorganisatie 3</v>
      </c>
      <c r="M31" s="31">
        <f>'Invoertabblad - geleverde zorg'!J32</f>
        <v>0</v>
      </c>
      <c r="N31" s="31">
        <f>'Invoertabblad - geleverde zorg'!K32</f>
        <v>0</v>
      </c>
      <c r="O31" s="31">
        <f>'Invoertabblad - geleverde zorg'!L32</f>
        <v>0</v>
      </c>
      <c r="P31" s="31">
        <f>'Invoertabblad - geleverde zorg'!M32</f>
        <v>0</v>
      </c>
      <c r="Q31" s="31">
        <f>'Invoertabblad - geleverde zorg'!N32</f>
        <v>0</v>
      </c>
      <c r="R31" s="31">
        <f>'Invoertabblad - geleverde zorg'!O32</f>
        <v>0</v>
      </c>
      <c r="S31" s="31">
        <f>'Invoertabblad - geleverde zorg'!P32</f>
        <v>0</v>
      </c>
      <c r="T31" s="31">
        <f>'Invoertabblad - geleverde zorg'!Q32</f>
        <v>0</v>
      </c>
      <c r="U31" s="31">
        <f>'Invoertabblad - geleverde zorg'!R32</f>
        <v>0</v>
      </c>
      <c r="W31" s="2" t="str">
        <f>NaamKraamzorgorganisatie_3</f>
        <v>TestKraamzorgorganisatie 3</v>
      </c>
      <c r="X31" s="48" t="str">
        <f t="shared" si="35"/>
        <v/>
      </c>
      <c r="Y31" s="48" t="str">
        <f t="shared" si="35"/>
        <v/>
      </c>
      <c r="Z31" s="48" t="str">
        <f t="shared" si="35"/>
        <v/>
      </c>
      <c r="AA31" s="48" t="str">
        <f t="shared" si="35"/>
        <v/>
      </c>
      <c r="AB31" s="48" t="str">
        <f t="shared" si="35"/>
        <v/>
      </c>
      <c r="AC31" s="48" t="str">
        <f t="shared" si="35"/>
        <v/>
      </c>
      <c r="AD31" s="48" t="str">
        <f t="shared" si="35"/>
        <v/>
      </c>
      <c r="AE31" s="48" t="str">
        <f t="shared" si="35"/>
        <v/>
      </c>
      <c r="AF31" s="48" t="str">
        <f t="shared" si="35"/>
        <v/>
      </c>
      <c r="AH31" s="2" t="str">
        <f>NaamKraamzorgorganisatie_3</f>
        <v>TestKraamzorgorganisatie 3</v>
      </c>
      <c r="AI31" s="32" t="str">
        <f t="shared" si="36"/>
        <v/>
      </c>
      <c r="AJ31" s="32" t="str">
        <f t="shared" si="36"/>
        <v/>
      </c>
      <c r="AK31" s="32" t="str">
        <f t="shared" si="36"/>
        <v/>
      </c>
      <c r="AL31" s="32" t="str">
        <f t="shared" si="36"/>
        <v/>
      </c>
      <c r="AM31" s="32" t="str">
        <f t="shared" si="36"/>
        <v/>
      </c>
      <c r="AN31" s="32" t="str">
        <f t="shared" si="36"/>
        <v/>
      </c>
      <c r="AO31" s="32" t="str">
        <f t="shared" si="36"/>
        <v/>
      </c>
      <c r="AP31" s="32" t="str">
        <f t="shared" si="36"/>
        <v/>
      </c>
      <c r="AQ31" s="32" t="str">
        <f t="shared" si="36"/>
        <v/>
      </c>
      <c r="AR31" s="32">
        <f t="shared" si="37"/>
        <v>0</v>
      </c>
    </row>
    <row r="32" spans="2:44" ht="17.5" thickBot="1" x14ac:dyDescent="0.55000000000000004">
      <c r="B32" s="28" t="s">
        <v>145</v>
      </c>
      <c r="C32" s="74" t="s">
        <v>129</v>
      </c>
      <c r="D32" s="74" t="s">
        <v>129</v>
      </c>
      <c r="E32" s="35">
        <f>SUM(E30:E31)</f>
        <v>0</v>
      </c>
      <c r="L32" s="2" t="str">
        <f>NaamKraamzorgorganisatie_4</f>
        <v>TestKraamzorgorganisatie 4</v>
      </c>
      <c r="M32" s="31">
        <f>'Invoertabblad - geleverde zorg'!J33</f>
        <v>0</v>
      </c>
      <c r="N32" s="31">
        <f>'Invoertabblad - geleverde zorg'!K33</f>
        <v>0</v>
      </c>
      <c r="O32" s="31">
        <f>'Invoertabblad - geleverde zorg'!L33</f>
        <v>0</v>
      </c>
      <c r="P32" s="31">
        <f>'Invoertabblad - geleverde zorg'!M33</f>
        <v>0</v>
      </c>
      <c r="Q32" s="31">
        <f>'Invoertabblad - geleverde zorg'!N33</f>
        <v>0</v>
      </c>
      <c r="R32" s="31">
        <f>'Invoertabblad - geleverde zorg'!O33</f>
        <v>0</v>
      </c>
      <c r="S32" s="31">
        <f>'Invoertabblad - geleverde zorg'!P33</f>
        <v>0</v>
      </c>
      <c r="T32" s="31">
        <f>'Invoertabblad - geleverde zorg'!Q33</f>
        <v>0</v>
      </c>
      <c r="U32" s="31">
        <f>'Invoertabblad - geleverde zorg'!R33</f>
        <v>0</v>
      </c>
      <c r="W32" s="2" t="str">
        <f>NaamKraamzorgorganisatie_4</f>
        <v>TestKraamzorgorganisatie 4</v>
      </c>
      <c r="X32" s="48" t="str">
        <f t="shared" si="35"/>
        <v/>
      </c>
      <c r="Y32" s="48" t="str">
        <f t="shared" si="35"/>
        <v/>
      </c>
      <c r="Z32" s="48" t="str">
        <f t="shared" si="35"/>
        <v/>
      </c>
      <c r="AA32" s="48" t="str">
        <f t="shared" si="35"/>
        <v/>
      </c>
      <c r="AB32" s="48" t="str">
        <f t="shared" si="35"/>
        <v/>
      </c>
      <c r="AC32" s="48" t="str">
        <f t="shared" si="35"/>
        <v/>
      </c>
      <c r="AD32" s="48" t="str">
        <f t="shared" si="35"/>
        <v/>
      </c>
      <c r="AE32" s="48" t="str">
        <f t="shared" si="35"/>
        <v/>
      </c>
      <c r="AF32" s="48" t="str">
        <f t="shared" si="35"/>
        <v/>
      </c>
      <c r="AH32" s="2" t="str">
        <f>NaamKraamzorgorganisatie_4</f>
        <v>TestKraamzorgorganisatie 4</v>
      </c>
      <c r="AI32" s="32" t="str">
        <f t="shared" si="36"/>
        <v/>
      </c>
      <c r="AJ32" s="32" t="str">
        <f t="shared" si="36"/>
        <v/>
      </c>
      <c r="AK32" s="32" t="str">
        <f t="shared" si="36"/>
        <v/>
      </c>
      <c r="AL32" s="32" t="str">
        <f t="shared" si="36"/>
        <v/>
      </c>
      <c r="AM32" s="32" t="str">
        <f t="shared" si="36"/>
        <v/>
      </c>
      <c r="AN32" s="32" t="str">
        <f t="shared" si="36"/>
        <v/>
      </c>
      <c r="AO32" s="32" t="str">
        <f t="shared" si="36"/>
        <v/>
      </c>
      <c r="AP32" s="32" t="str">
        <f t="shared" si="36"/>
        <v/>
      </c>
      <c r="AQ32" s="32" t="str">
        <f t="shared" si="36"/>
        <v/>
      </c>
      <c r="AR32" s="32">
        <f t="shared" si="37"/>
        <v>0</v>
      </c>
    </row>
    <row r="33" spans="2:44" x14ac:dyDescent="0.5">
      <c r="L33" s="2" t="str">
        <f>NaamKraamzorgorganisatie_5</f>
        <v>TestKraamzorgorganisatie 5</v>
      </c>
      <c r="M33" s="31">
        <f>'Invoertabblad - geleverde zorg'!J34</f>
        <v>0</v>
      </c>
      <c r="N33" s="31">
        <f>'Invoertabblad - geleverde zorg'!K34</f>
        <v>0</v>
      </c>
      <c r="O33" s="31">
        <f>'Invoertabblad - geleverde zorg'!L34</f>
        <v>0</v>
      </c>
      <c r="P33" s="31">
        <f>'Invoertabblad - geleverde zorg'!M34</f>
        <v>0</v>
      </c>
      <c r="Q33" s="31">
        <f>'Invoertabblad - geleverde zorg'!N34</f>
        <v>0</v>
      </c>
      <c r="R33" s="31">
        <f>'Invoertabblad - geleverde zorg'!O34</f>
        <v>0</v>
      </c>
      <c r="S33" s="31">
        <f>'Invoertabblad - geleverde zorg'!P34</f>
        <v>0</v>
      </c>
      <c r="T33" s="31">
        <f>'Invoertabblad - geleverde zorg'!Q34</f>
        <v>0</v>
      </c>
      <c r="U33" s="31">
        <f>'Invoertabblad - geleverde zorg'!R34</f>
        <v>0</v>
      </c>
      <c r="W33" s="2" t="str">
        <f>NaamKraamzorgorganisatie_5</f>
        <v>TestKraamzorgorganisatie 5</v>
      </c>
      <c r="X33" s="48" t="str">
        <f t="shared" si="35"/>
        <v/>
      </c>
      <c r="Y33" s="48" t="str">
        <f t="shared" si="35"/>
        <v/>
      </c>
      <c r="Z33" s="48" t="str">
        <f t="shared" si="35"/>
        <v/>
      </c>
      <c r="AA33" s="48" t="str">
        <f t="shared" si="35"/>
        <v/>
      </c>
      <c r="AB33" s="48" t="str">
        <f t="shared" si="35"/>
        <v/>
      </c>
      <c r="AC33" s="48" t="str">
        <f t="shared" si="35"/>
        <v/>
      </c>
      <c r="AD33" s="48" t="str">
        <f t="shared" si="35"/>
        <v/>
      </c>
      <c r="AE33" s="48" t="str">
        <f t="shared" si="35"/>
        <v/>
      </c>
      <c r="AF33" s="48" t="str">
        <f t="shared" si="35"/>
        <v/>
      </c>
      <c r="AH33" s="2" t="str">
        <f>NaamKraamzorgorganisatie_5</f>
        <v>TestKraamzorgorganisatie 5</v>
      </c>
      <c r="AI33" s="32" t="str">
        <f t="shared" si="36"/>
        <v/>
      </c>
      <c r="AJ33" s="32" t="str">
        <f t="shared" si="36"/>
        <v/>
      </c>
      <c r="AK33" s="32" t="str">
        <f t="shared" si="36"/>
        <v/>
      </c>
      <c r="AL33" s="32" t="str">
        <f t="shared" si="36"/>
        <v/>
      </c>
      <c r="AM33" s="32" t="str">
        <f t="shared" si="36"/>
        <v/>
      </c>
      <c r="AN33" s="32" t="str">
        <f t="shared" si="36"/>
        <v/>
      </c>
      <c r="AO33" s="32" t="str">
        <f t="shared" si="36"/>
        <v/>
      </c>
      <c r="AP33" s="32" t="str">
        <f t="shared" si="36"/>
        <v/>
      </c>
      <c r="AQ33" s="32" t="str">
        <f t="shared" si="36"/>
        <v/>
      </c>
      <c r="AR33" s="32">
        <f t="shared" si="37"/>
        <v>0</v>
      </c>
    </row>
    <row r="34" spans="2:44" x14ac:dyDescent="0.5">
      <c r="B34" s="40" t="s">
        <v>157</v>
      </c>
      <c r="C34" s="10"/>
      <c r="D34" s="10"/>
      <c r="E34" s="10"/>
      <c r="F34" s="10"/>
      <c r="L34" s="57" t="s">
        <v>388</v>
      </c>
      <c r="M34" s="58">
        <f>SUM(M29:M33)</f>
        <v>0</v>
      </c>
      <c r="N34" s="58">
        <f t="shared" ref="N34:U34" si="38">SUM(N29:N33)</f>
        <v>0</v>
      </c>
      <c r="O34" s="58">
        <f t="shared" si="38"/>
        <v>0</v>
      </c>
      <c r="P34" s="58">
        <f t="shared" si="38"/>
        <v>0</v>
      </c>
      <c r="Q34" s="58">
        <f t="shared" si="38"/>
        <v>0</v>
      </c>
      <c r="R34" s="58">
        <f t="shared" si="38"/>
        <v>0</v>
      </c>
      <c r="S34" s="58">
        <f t="shared" si="38"/>
        <v>0</v>
      </c>
      <c r="T34" s="58">
        <f t="shared" si="38"/>
        <v>0</v>
      </c>
      <c r="U34" s="58">
        <f t="shared" si="38"/>
        <v>0</v>
      </c>
      <c r="W34" s="50" t="s">
        <v>145</v>
      </c>
      <c r="X34" s="60">
        <f>SUM(X29:X33)</f>
        <v>0</v>
      </c>
      <c r="Y34" s="60">
        <f t="shared" ref="Y34" si="39">SUM(Y29:Y33)</f>
        <v>0</v>
      </c>
      <c r="Z34" s="60">
        <f t="shared" ref="Z34" si="40">SUM(Z29:Z33)</f>
        <v>0</v>
      </c>
      <c r="AA34" s="60">
        <f t="shared" ref="AA34" si="41">SUM(AA29:AA33)</f>
        <v>0</v>
      </c>
      <c r="AB34" s="60">
        <f t="shared" ref="AB34" si="42">SUM(AB29:AB33)</f>
        <v>0</v>
      </c>
      <c r="AC34" s="60">
        <f t="shared" ref="AC34" si="43">SUM(AC29:AC33)</f>
        <v>0</v>
      </c>
      <c r="AD34" s="60">
        <f t="shared" ref="AD34" si="44">SUM(AD29:AD33)</f>
        <v>0</v>
      </c>
      <c r="AE34" s="60">
        <f t="shared" ref="AE34:AF34" si="45">SUM(AE29:AE33)</f>
        <v>0</v>
      </c>
      <c r="AF34" s="60">
        <f t="shared" si="45"/>
        <v>0</v>
      </c>
      <c r="AH34" s="50" t="s">
        <v>201</v>
      </c>
      <c r="AI34" s="59" t="e">
        <f t="shared" ref="AI34:AQ34" si="46">VLOOKUP(AI$6,$B$47:$E$57,4,0)</f>
        <v>#DIV/0!</v>
      </c>
      <c r="AJ34" s="59" t="e">
        <f t="shared" si="46"/>
        <v>#DIV/0!</v>
      </c>
      <c r="AK34" s="59" t="e">
        <f t="shared" si="46"/>
        <v>#DIV/0!</v>
      </c>
      <c r="AL34" s="59" t="e">
        <f t="shared" si="46"/>
        <v>#DIV/0!</v>
      </c>
      <c r="AM34" s="59" t="e">
        <f t="shared" si="46"/>
        <v>#DIV/0!</v>
      </c>
      <c r="AN34" s="59" t="e">
        <f t="shared" si="46"/>
        <v>#DIV/0!</v>
      </c>
      <c r="AO34" s="59" t="e">
        <f t="shared" si="46"/>
        <v>#DIV/0!</v>
      </c>
      <c r="AP34" s="59" t="e">
        <f t="shared" si="46"/>
        <v>#DIV/0!</v>
      </c>
      <c r="AQ34" s="59" t="e">
        <f t="shared" si="46"/>
        <v>#DIV/0!</v>
      </c>
      <c r="AR34" s="59" t="e">
        <f t="shared" si="37"/>
        <v>#DIV/0!</v>
      </c>
    </row>
    <row r="35" spans="2:44" ht="34" x14ac:dyDescent="0.5">
      <c r="B35" s="25" t="s">
        <v>159</v>
      </c>
      <c r="C35" s="9" t="s">
        <v>168</v>
      </c>
      <c r="D35" s="9" t="s">
        <v>130</v>
      </c>
      <c r="E35" s="9" t="s">
        <v>3</v>
      </c>
      <c r="F35" s="9" t="s">
        <v>142</v>
      </c>
      <c r="M35" s="46"/>
      <c r="N35" s="46"/>
      <c r="O35" s="46"/>
      <c r="P35" s="46"/>
      <c r="Q35" s="46"/>
      <c r="R35" s="46"/>
      <c r="S35" s="46"/>
      <c r="T35" s="46"/>
      <c r="U35" s="46"/>
    </row>
    <row r="36" spans="2:44" x14ac:dyDescent="0.5">
      <c r="B36" s="18" t="s">
        <v>141</v>
      </c>
      <c r="C36" s="12">
        <f>Eerstelijns_verloskundeBegeleiding_eindigend__16_wkn_zwangerschap_incl._nazorg</f>
        <v>0</v>
      </c>
      <c r="D36" s="12">
        <f>ZiekenhuisBegeleiding_eindigend__16_wkn_zwangerschap_incl._nazorg</f>
        <v>0</v>
      </c>
      <c r="E36" s="12">
        <f>KraamzorgBegeleiding_eindigend__16_wkn_zwangerschap_incl._nazorg</f>
        <v>0</v>
      </c>
      <c r="F36" s="12">
        <f t="shared" ref="F36:F44" si="47">SUM(C36:E36)</f>
        <v>0</v>
      </c>
    </row>
    <row r="37" spans="2:44" x14ac:dyDescent="0.5">
      <c r="B37" s="18" t="s">
        <v>133</v>
      </c>
      <c r="C37" s="12">
        <f>Eerstelijns_verloskundeGeboortezorg_prenataal</f>
        <v>0</v>
      </c>
      <c r="D37" s="12">
        <f>ZiekenhuisGeboortezorg_prenataal</f>
        <v>0</v>
      </c>
      <c r="E37" s="12">
        <f>KraamzorgGeboortezorg_prenataal</f>
        <v>0</v>
      </c>
      <c r="F37" s="12">
        <f t="shared" si="47"/>
        <v>0</v>
      </c>
    </row>
    <row r="38" spans="2:44" x14ac:dyDescent="0.5">
      <c r="B38" s="18" t="s">
        <v>134</v>
      </c>
      <c r="C38" s="12">
        <f>Eerstelijns_verloskundeGeboortezorg_prenataal_complex</f>
        <v>0</v>
      </c>
      <c r="D38" s="12">
        <f>ZiekenhuisGeboortezorg_prenataal_complex</f>
        <v>0</v>
      </c>
      <c r="E38" s="12">
        <f>KraamzorgGeboortezorg_prenataal_complex</f>
        <v>0</v>
      </c>
      <c r="F38" s="12">
        <f t="shared" si="47"/>
        <v>0</v>
      </c>
    </row>
    <row r="39" spans="2:44" x14ac:dyDescent="0.5">
      <c r="B39" s="18" t="s">
        <v>135</v>
      </c>
      <c r="C39" s="12">
        <f>Eerstelijns_verloskundeGeboortezorg_nataal</f>
        <v>0</v>
      </c>
      <c r="D39" s="12">
        <f>ZiekenhuisGeboortezorg_nataal</f>
        <v>0</v>
      </c>
      <c r="E39" s="12">
        <f>KraamzorgGeboortezorg_nataal</f>
        <v>0</v>
      </c>
      <c r="F39" s="12">
        <f t="shared" si="47"/>
        <v>0</v>
      </c>
    </row>
    <row r="40" spans="2:44" x14ac:dyDescent="0.5">
      <c r="B40" s="30" t="s">
        <v>136</v>
      </c>
      <c r="C40" s="12">
        <f>Eerstelijns_verloskundeGeboortezorg_nataal_intramuraal_op_eigen_verzoek</f>
        <v>0</v>
      </c>
      <c r="D40" s="12">
        <f>ZiekenhuisGeboortezorg_nataal_intramuraal_op_eigen_verzoek</f>
        <v>0</v>
      </c>
      <c r="E40" s="12">
        <f>KraamzorgGeboortezorg_nataal_intramuraal_op_eigen_verzoek</f>
        <v>0</v>
      </c>
      <c r="F40" s="12">
        <f t="shared" si="47"/>
        <v>0</v>
      </c>
    </row>
    <row r="41" spans="2:44" x14ac:dyDescent="0.5">
      <c r="B41" s="18" t="s">
        <v>139</v>
      </c>
      <c r="C41" s="12">
        <f>Eerstelijns_verloskundeGeboortezorg_nataal_complex</f>
        <v>0</v>
      </c>
      <c r="D41" s="12">
        <f>ZiekenhuisGeboortezorg_nataal_complex</f>
        <v>0</v>
      </c>
      <c r="E41" s="12">
        <f>KraamzorgGeboortezorg_nataal_complex</f>
        <v>0</v>
      </c>
      <c r="F41" s="12">
        <f t="shared" si="47"/>
        <v>0</v>
      </c>
    </row>
    <row r="42" spans="2:44" x14ac:dyDescent="0.5">
      <c r="B42" s="18" t="s">
        <v>140</v>
      </c>
      <c r="C42" s="12">
        <f>Eerstelijns_verloskundeGeboortezorg_postnataal</f>
        <v>0</v>
      </c>
      <c r="D42" s="12">
        <f>ZiekenhuisGeboortezorg_postnataal</f>
        <v>0</v>
      </c>
      <c r="E42" s="12">
        <f>KraamzorgGeboortezorg_postnataal</f>
        <v>0</v>
      </c>
      <c r="F42" s="12">
        <f t="shared" si="47"/>
        <v>0</v>
      </c>
    </row>
    <row r="43" spans="2:44" x14ac:dyDescent="0.5">
      <c r="B43" s="19" t="s">
        <v>137</v>
      </c>
      <c r="C43" s="12">
        <f>Eerstelijns_verloskundeGeboortezorg_postnataal_complex</f>
        <v>0</v>
      </c>
      <c r="D43" s="12">
        <f>ZiekenhuisGeboortezorg_postnataal_complex</f>
        <v>0</v>
      </c>
      <c r="E43" s="12">
        <f>KraamzorgGeboortezorg_postnataal_complex</f>
        <v>0</v>
      </c>
      <c r="F43" s="12">
        <f t="shared" si="47"/>
        <v>0</v>
      </c>
    </row>
    <row r="44" spans="2:44" x14ac:dyDescent="0.5">
      <c r="B44" s="2" t="s">
        <v>138</v>
      </c>
      <c r="C44" s="12">
        <f>Eerstelijns_verloskundeKraamzorg_postnataal_per_uur</f>
        <v>0</v>
      </c>
      <c r="D44" s="12">
        <f>ZiekenhuisKraamzorg_postnataal_per_uur</f>
        <v>0</v>
      </c>
      <c r="E44" s="12">
        <f>KraamzorgKraamzorg_postnataal_per_uur</f>
        <v>0</v>
      </c>
      <c r="F44" s="12">
        <f t="shared" si="47"/>
        <v>0</v>
      </c>
    </row>
    <row r="46" spans="2:44" x14ac:dyDescent="0.5">
      <c r="B46" s="76" t="s">
        <v>158</v>
      </c>
    </row>
    <row r="47" spans="2:44" ht="34" x14ac:dyDescent="0.5">
      <c r="B47" s="25" t="s">
        <v>159</v>
      </c>
      <c r="C47" s="9" t="s">
        <v>168</v>
      </c>
      <c r="D47" s="9" t="s">
        <v>130</v>
      </c>
      <c r="E47" s="9" t="s">
        <v>3</v>
      </c>
    </row>
    <row r="48" spans="2:44" x14ac:dyDescent="0.5">
      <c r="B48" s="18" t="s">
        <v>141</v>
      </c>
      <c r="C48" s="41" t="e">
        <f t="shared" ref="C48:E56" si="48">$J7*C36</f>
        <v>#DIV/0!</v>
      </c>
      <c r="D48" s="41" t="e">
        <f t="shared" si="48"/>
        <v>#DIV/0!</v>
      </c>
      <c r="E48" s="41" t="e">
        <f t="shared" si="48"/>
        <v>#DIV/0!</v>
      </c>
    </row>
    <row r="49" spans="2:5" x14ac:dyDescent="0.5">
      <c r="B49" s="18" t="s">
        <v>133</v>
      </c>
      <c r="C49" s="41" t="e">
        <f t="shared" si="48"/>
        <v>#DIV/0!</v>
      </c>
      <c r="D49" s="41" t="e">
        <f t="shared" si="48"/>
        <v>#DIV/0!</v>
      </c>
      <c r="E49" s="41" t="e">
        <f t="shared" si="48"/>
        <v>#DIV/0!</v>
      </c>
    </row>
    <row r="50" spans="2:5" x14ac:dyDescent="0.5">
      <c r="B50" s="18" t="s">
        <v>134</v>
      </c>
      <c r="C50" s="41" t="e">
        <f t="shared" si="48"/>
        <v>#DIV/0!</v>
      </c>
      <c r="D50" s="41" t="e">
        <f t="shared" si="48"/>
        <v>#DIV/0!</v>
      </c>
      <c r="E50" s="41" t="e">
        <f t="shared" si="48"/>
        <v>#DIV/0!</v>
      </c>
    </row>
    <row r="51" spans="2:5" x14ac:dyDescent="0.5">
      <c r="B51" s="18" t="s">
        <v>135</v>
      </c>
      <c r="C51" s="41" t="e">
        <f t="shared" si="48"/>
        <v>#DIV/0!</v>
      </c>
      <c r="D51" s="41" t="e">
        <f t="shared" si="48"/>
        <v>#DIV/0!</v>
      </c>
      <c r="E51" s="41" t="e">
        <f t="shared" si="48"/>
        <v>#DIV/0!</v>
      </c>
    </row>
    <row r="52" spans="2:5" x14ac:dyDescent="0.5">
      <c r="B52" s="30" t="s">
        <v>136</v>
      </c>
      <c r="C52" s="41" t="e">
        <f t="shared" si="48"/>
        <v>#DIV/0!</v>
      </c>
      <c r="D52" s="41" t="e">
        <f t="shared" si="48"/>
        <v>#DIV/0!</v>
      </c>
      <c r="E52" s="41" t="e">
        <f t="shared" si="48"/>
        <v>#DIV/0!</v>
      </c>
    </row>
    <row r="53" spans="2:5" x14ac:dyDescent="0.5">
      <c r="B53" s="18" t="s">
        <v>139</v>
      </c>
      <c r="C53" s="41" t="e">
        <f t="shared" si="48"/>
        <v>#DIV/0!</v>
      </c>
      <c r="D53" s="41" t="e">
        <f t="shared" si="48"/>
        <v>#DIV/0!</v>
      </c>
      <c r="E53" s="41" t="e">
        <f t="shared" si="48"/>
        <v>#DIV/0!</v>
      </c>
    </row>
    <row r="54" spans="2:5" x14ac:dyDescent="0.5">
      <c r="B54" s="18" t="s">
        <v>140</v>
      </c>
      <c r="C54" s="41" t="e">
        <f t="shared" si="48"/>
        <v>#DIV/0!</v>
      </c>
      <c r="D54" s="41" t="e">
        <f t="shared" si="48"/>
        <v>#DIV/0!</v>
      </c>
      <c r="E54" s="41" t="e">
        <f t="shared" si="48"/>
        <v>#DIV/0!</v>
      </c>
    </row>
    <row r="55" spans="2:5" x14ac:dyDescent="0.5">
      <c r="B55" s="19" t="s">
        <v>137</v>
      </c>
      <c r="C55" s="41" t="e">
        <f t="shared" si="48"/>
        <v>#DIV/0!</v>
      </c>
      <c r="D55" s="41" t="e">
        <f t="shared" si="48"/>
        <v>#DIV/0!</v>
      </c>
      <c r="E55" s="41" t="e">
        <f t="shared" si="48"/>
        <v>#DIV/0!</v>
      </c>
    </row>
    <row r="56" spans="2:5" ht="17.5" thickBot="1" x14ac:dyDescent="0.55000000000000004">
      <c r="B56" s="27" t="s">
        <v>138</v>
      </c>
      <c r="C56" s="41" t="e">
        <f t="shared" si="48"/>
        <v>#DIV/0!</v>
      </c>
      <c r="D56" s="41" t="e">
        <f t="shared" si="48"/>
        <v>#DIV/0!</v>
      </c>
      <c r="E56" s="41" t="e">
        <f t="shared" si="48"/>
        <v>#DIV/0!</v>
      </c>
    </row>
    <row r="57" spans="2:5" ht="17.5" thickBot="1" x14ac:dyDescent="0.55000000000000004">
      <c r="B57" s="22" t="s">
        <v>145</v>
      </c>
      <c r="C57" s="42" t="e">
        <f t="shared" ref="C57:D57" si="49">SUM(C48:C56)</f>
        <v>#DIV/0!</v>
      </c>
      <c r="D57" s="42" t="e">
        <f t="shared" si="49"/>
        <v>#DIV/0!</v>
      </c>
      <c r="E57" s="42" t="e">
        <f>SUM(E48:E56)</f>
        <v>#DIV/0!</v>
      </c>
    </row>
  </sheetData>
  <sheetProtection sheet="1" objects="1" scenarios="1"/>
  <conditionalFormatting sqref="F36:F44">
    <cfRule type="cellIs" dxfId="0" priority="1" operator="notEqual">
      <formula>1</formula>
    </cfRule>
  </conditionalFormatting>
  <hyperlinks>
    <hyperlink ref="A1" location="Modeltoelichting!A1" display="Modeltoelichting!A1" xr:uid="{79994472-3D21-4173-945A-E0115FD6F575}"/>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A7AF301F02B8449A5B3B0293B7F346" ma:contentTypeVersion="" ma:contentTypeDescription="Create a new document." ma:contentTypeScope="" ma:versionID="5c6a4956176da33858cadd4f6b4814cb">
  <xsd:schema xmlns:xsd="http://www.w3.org/2001/XMLSchema" xmlns:xs="http://www.w3.org/2001/XMLSchema" xmlns:p="http://schemas.microsoft.com/office/2006/metadata/properties" xmlns:ns2="E0D334BD-F51A-487A-AADB-8EA0B1C37128" xmlns:ns3="e0d334bd-f51a-487a-aadb-8ea0b1c37128" xmlns:ns4="b568a5d2-6a1d-4b50-b29f-b448bc58868c" targetNamespace="http://schemas.microsoft.com/office/2006/metadata/properties" ma:root="true" ma:fieldsID="8d51180350780850a07318efb813bfce" ns2:_="" ns3:_="" ns4:_="">
    <xsd:import namespace="E0D334BD-F51A-487A-AADB-8EA0B1C37128"/>
    <xsd:import namespace="e0d334bd-f51a-487a-aadb-8ea0b1c37128"/>
    <xsd:import namespace="b568a5d2-6a1d-4b50-b29f-b448bc58868c"/>
    <xsd:element name="properties">
      <xsd:complexType>
        <xsd:sequence>
          <xsd:element name="documentManagement">
            <xsd:complexType>
              <xsd:all>
                <xsd:element ref="ns2:Weg_x0020_na_x0020_afloop_x0020_project" minOccurs="0"/>
                <xsd:element ref="ns2:Nu_x0020_archiveren" minOccurs="0"/>
                <xsd:element ref="ns2:Deliverable" minOccurs="0"/>
                <xsd:element ref="ns3:MediaServiceMetadata" minOccurs="0"/>
                <xsd:element ref="ns3:MediaServiceFastMetadata" minOccurs="0"/>
                <xsd:element ref="ns4:SharedWithUsers" minOccurs="0"/>
                <xsd:element ref="ns4:SharedWithDetail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D334BD-F51A-487A-AADB-8EA0B1C37128" elementFormDefault="qualified">
    <xsd:import namespace="http://schemas.microsoft.com/office/2006/documentManagement/types"/>
    <xsd:import namespace="http://schemas.microsoft.com/office/infopath/2007/PartnerControls"/>
    <xsd:element name="Weg_x0020_na_x0020_afloop_x0020_project" ma:index="8" nillable="true" ma:displayName="Weg na afloop project" ma:default="0" ma:internalName="Weg_x0020_na_x0020_afloop_x0020_project">
      <xsd:simpleType>
        <xsd:restriction base="dms:Boolean"/>
      </xsd:simpleType>
    </xsd:element>
    <xsd:element name="Nu_x0020_archiveren" ma:index="9" nillable="true" ma:displayName="Nu archiveren" ma:default="Nee" ma:format="Dropdown" ma:internalName="Nu_x0020_archiveren">
      <xsd:simpleType>
        <xsd:restriction base="dms:Choice">
          <xsd:enumeration value="Ja"/>
          <xsd:enumeration value="Nee"/>
        </xsd:restriction>
      </xsd:simpleType>
    </xsd:element>
    <xsd:element name="Deliverable" ma:index="10" nillable="true" ma:displayName="Deliverable" ma:default="0" ma:description="Is het document een eindproduct en/of gedeeld met de klant?" ma:internalName="Deliverabl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0d334bd-f51a-487a-aadb-8ea0b1c3712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68a5d2-6a1d-4b50-b29f-b448bc58868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liverable xmlns="E0D334BD-F51A-487A-AADB-8EA0B1C37128">false</Deliverable>
    <Nu_x0020_archiveren xmlns="E0D334BD-F51A-487A-AADB-8EA0B1C37128">Nee</Nu_x0020_archiveren>
    <Weg_x0020_na_x0020_afloop_x0020_project xmlns="E0D334BD-F51A-487A-AADB-8EA0B1C37128">false</Weg_x0020_na_x0020_afloop_x0020_project>
  </documentManagement>
</p:properties>
</file>

<file path=customXml/itemProps1.xml><?xml version="1.0" encoding="utf-8"?>
<ds:datastoreItem xmlns:ds="http://schemas.openxmlformats.org/officeDocument/2006/customXml" ds:itemID="{649230EA-A68B-4AB2-BE9A-2BE5024DF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D334BD-F51A-487A-AADB-8EA0B1C37128"/>
    <ds:schemaRef ds:uri="e0d334bd-f51a-487a-aadb-8ea0b1c37128"/>
    <ds:schemaRef ds:uri="b568a5d2-6a1d-4b50-b29f-b448bc5886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A22CF8-7C96-4061-89AC-E4EBA4B22AFD}">
  <ds:schemaRefs>
    <ds:schemaRef ds:uri="http://schemas.microsoft.com/sharepoint/v3/contenttype/forms"/>
  </ds:schemaRefs>
</ds:datastoreItem>
</file>

<file path=customXml/itemProps3.xml><?xml version="1.0" encoding="utf-8"?>
<ds:datastoreItem xmlns:ds="http://schemas.openxmlformats.org/officeDocument/2006/customXml" ds:itemID="{931AAB2A-0942-4CC7-A482-571F8B687F80}">
  <ds:schemaRefs>
    <ds:schemaRef ds:uri="http://schemas.microsoft.com/office/2006/metadata/properties"/>
    <ds:schemaRef ds:uri="http://purl.org/dc/terms/"/>
    <ds:schemaRef ds:uri="http://purl.org/dc/dcmitype/"/>
    <ds:schemaRef ds:uri="e0d334bd-f51a-487a-aadb-8ea0b1c37128"/>
    <ds:schemaRef ds:uri="E0D334BD-F51A-487A-AADB-8EA0B1C37128"/>
    <ds:schemaRef ds:uri="http://schemas.microsoft.com/office/2006/documentManagement/types"/>
    <ds:schemaRef ds:uri="http://schemas.microsoft.com/office/infopath/2007/PartnerControls"/>
    <ds:schemaRef ds:uri="http://schemas.openxmlformats.org/package/2006/metadata/core-properties"/>
    <ds:schemaRef ds:uri="b568a5d2-6a1d-4b50-b29f-b448bc58868c"/>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89</vt:i4>
      </vt:variant>
    </vt:vector>
  </HeadingPairs>
  <TitlesOfParts>
    <vt:vector size="96" baseType="lpstr">
      <vt:lpstr>Modeltoelichting</vt:lpstr>
      <vt:lpstr>Regiokenmerken</vt:lpstr>
      <vt:lpstr>Uitkomsten verdeling</vt:lpstr>
      <vt:lpstr>Invoertabblad - regiokenmerken</vt:lpstr>
      <vt:lpstr>Invoertabblad - geleverde zorg</vt:lpstr>
      <vt:lpstr>Invoertabblad - verdeling</vt:lpstr>
      <vt:lpstr>Berekening van de verdeling</vt:lpstr>
      <vt:lpstr>Aantal_integrale_geboortezorg_prestaties_Begeleiding_eindigend__16_wkn_zwangerschap_incl._nazorg</vt:lpstr>
      <vt:lpstr>Aantal_integrale_geboortezorg_prestaties_Geboortezorg_nataal</vt:lpstr>
      <vt:lpstr>Aantal_integrale_geboortezorg_prestaties_Geboortezorg_nataal_complex</vt:lpstr>
      <vt:lpstr>Aantal_integrale_geboortezorg_prestaties_Geboortezorg_nataal_intramuraal_op_eigen_verzoek</vt:lpstr>
      <vt:lpstr>Aantal_integrale_geboortezorg_prestaties_Geboortezorg_postnataal</vt:lpstr>
      <vt:lpstr>Aantal_integrale_geboortezorg_prestaties_Geboortezorg_postnataal_complex</vt:lpstr>
      <vt:lpstr>Aantal_integrale_geboortezorg_prestaties_Geboortezorg_prenataal</vt:lpstr>
      <vt:lpstr>Aantal_integrale_geboortezorg_prestaties_Geboortezorg_prenataal_complex</vt:lpstr>
      <vt:lpstr>Aantal_integrale_geboortezorg_prestaties_Kraamzorg_postnataal_per_uur</vt:lpstr>
      <vt:lpstr>Aantal_vrouwen_Aantal_zwangeren_met_tenminste_22_weken_zwangerschapsduur</vt:lpstr>
      <vt:lpstr>Eerstelijns_verloskundeBegeleiding_eindigend__16_wkn_zwangerschap_incl._nazorg</vt:lpstr>
      <vt:lpstr>Eerstelijns_verloskundeGeboortezorg_nataal</vt:lpstr>
      <vt:lpstr>Eerstelijns_verloskundeGeboortezorg_nataal_complex</vt:lpstr>
      <vt:lpstr>Eerstelijns_verloskundeGeboortezorg_nataal_intramuraal_op_eigen_verzoek</vt:lpstr>
      <vt:lpstr>Eerstelijns_verloskundeGeboortezorg_postnataal</vt:lpstr>
      <vt:lpstr>Eerstelijns_verloskundeGeboortezorg_postnataal_complex</vt:lpstr>
      <vt:lpstr>Eerstelijns_verloskundeGeboortezorg_prenataal</vt:lpstr>
      <vt:lpstr>Eerstelijns_verloskundeGeboortezorg_prenataal_complex</vt:lpstr>
      <vt:lpstr>Eerstelijns_verloskundeKraamzorg_postnataal_per_uur</vt:lpstr>
      <vt:lpstr>Gecontracteerd_tarief_per_integrale_geboortezorg_prestatie_Begeleiding_eindigend__16_wkn_zwangerschap_incl._nazorg</vt:lpstr>
      <vt:lpstr>Gecontracteerd_tarief_per_integrale_geboortezorg_prestatie_Geboortezorg_nataal</vt:lpstr>
      <vt:lpstr>Gecontracteerd_tarief_per_integrale_geboortezorg_prestatie_Geboortezorg_nataal_complex</vt:lpstr>
      <vt:lpstr>Gecontracteerd_tarief_per_integrale_geboortezorg_prestatie_Geboortezorg_nataal_intramuraal_op_eigen_verzoek</vt:lpstr>
      <vt:lpstr>Gecontracteerd_tarief_per_integrale_geboortezorg_prestatie_Geboortezorg_postnataal</vt:lpstr>
      <vt:lpstr>Gecontracteerd_tarief_per_integrale_geboortezorg_prestatie_Geboortezorg_postnataal_complex</vt:lpstr>
      <vt:lpstr>Gecontracteerd_tarief_per_integrale_geboortezorg_prestatie_Geboortezorg_prenataal</vt:lpstr>
      <vt:lpstr>Gecontracteerd_tarief_per_integrale_geboortezorg_prestatie_Geboortezorg_prenataal_complex</vt:lpstr>
      <vt:lpstr>Gecontracteerd_tarief_per_integrale_geboortezorg_prestatie_Kraamzorg_postnataal_per_uur</vt:lpstr>
      <vt:lpstr>JaarModel</vt:lpstr>
      <vt:lpstr>KraamzorgBegeleiding_eindigend__16_wkn_zwangerschap_incl._nazorg</vt:lpstr>
      <vt:lpstr>KraamzorgGeboortezorg_nataal</vt:lpstr>
      <vt:lpstr>KraamzorgGeboortezorg_nataal_complex</vt:lpstr>
      <vt:lpstr>KraamzorgGeboortezorg_nataal_intramuraal_op_eigen_verzoek</vt:lpstr>
      <vt:lpstr>KraamzorgGeboortezorg_postnataal</vt:lpstr>
      <vt:lpstr>KraamzorgGeboortezorg_postnataal_complex</vt:lpstr>
      <vt:lpstr>KraamzorgGeboortezorg_prenataal</vt:lpstr>
      <vt:lpstr>KraamzorgGeboortezorg_prenataal_complex</vt:lpstr>
      <vt:lpstr>KraamzorgKraamzorg_postnataal_per_uur</vt:lpstr>
      <vt:lpstr>Mogelijke_activiteiten_buiten_IGO___zorggroep___…___echscopie_Algemene_termijnecho_om_de_zwangerschapsduur_te_bepalen</vt:lpstr>
      <vt:lpstr>Mogelijke_activiteiten_buiten_IGO___zorggroep___…___echscopie_Kosten___Nt_meting___bij_eenlingen_en_bij_het_eerste_kind_van_een_meerlingenzwangerschap</vt:lpstr>
      <vt:lpstr>Mogelijke_activiteiten_buiten_IGO___zorggroep___…___echscopie_Kosten_Algemene_termijnecho_om_de_zwangerschapsduur_te_bepalen</vt:lpstr>
      <vt:lpstr>Mogelijke_activiteiten_buiten_IGO___zorggroep___…___echscopie_Kosten_Nt_meting___bij_elk_volgend_kind_van_een_meerlingenzwangerschap</vt:lpstr>
      <vt:lpstr>Mogelijke_activiteiten_buiten_IGO___zorggroep___…___echscopie_Kosten_Prenatale_screening_TTSEO___bij_eenlingen_en_bij_het_eerste_kind_van_een_meerlingenzwangerschap</vt:lpstr>
      <vt:lpstr>Mogelijke_activiteiten_buiten_IGO___zorggroep___…___echscopie_Kosten_Prenatale_screening_TTSEO___bij_elk_volgend_kind_van_een_meerlingenzwangerschap</vt:lpstr>
      <vt:lpstr>Mogelijke_activiteiten_buiten_IGO___zorggroep___…___echscopie_Kosten_Specifieke_diagnose_echo</vt:lpstr>
      <vt:lpstr>Mogelijke_activiteiten_buiten_IGO___zorggroep___…___echscopie_Nt_meting___bij_eenlingen_en_bij_het_eerste_kind_van_een_meerlingenzwangerschap</vt:lpstr>
      <vt:lpstr>Mogelijke_activiteiten_buiten_IGO___zorggroep___…___echscopie_Nt_meting___bij_elk_volgend_kind_van_een_meerlingenzwangerschap</vt:lpstr>
      <vt:lpstr>Mogelijke_activiteiten_buiten_IGO___zorggroep___…___echscopie_Prenatale_screening_TTSEO___bij_eenlingen_en_bij_het_eerste_kind_van_een_meerlingenzwangerschap</vt:lpstr>
      <vt:lpstr>Mogelijke_activiteiten_buiten_IGO___zorggroep___…___echscopie_Prenatale_screening_TTSEO___bij_elk_volgend_kind_van_een_meerlingenzwangerschap</vt:lpstr>
      <vt:lpstr>Mogelijke_activiteiten_buiten_IGO___zorggroep___…___echscopie_Specifieke_diagnose_echo</vt:lpstr>
      <vt:lpstr>Mogelijke_activiteiten_buiten_IGO___zorggroep___…___geboortezorgcentrum_Geboortecentrum</vt:lpstr>
      <vt:lpstr>Mogelijke_activiteiten_buiten_IGO___zorggroep___…___geboortezorgcentrum_Geboortecentrum_met_beschikbaarheid_lachgas</vt:lpstr>
      <vt:lpstr>Mogelijke_activiteiten_buiten_IGO___zorggroep___…___geboortezorgcentrum_Kosten_gebruik_geboortecentrum</vt:lpstr>
      <vt:lpstr>Mogelijke_activiteiten_buiten_IGO___zorggroep___…___geboortezorgcentrum_Kosten_gebruik_geboortecentrum_met_beschikbaarheid_lachgas</vt:lpstr>
      <vt:lpstr>NaamKraamzorgorganisatie_1</vt:lpstr>
      <vt:lpstr>NaamKraamzorgorganisatie_2</vt:lpstr>
      <vt:lpstr>NaamKraamzorgorganisatie_3</vt:lpstr>
      <vt:lpstr>NaamKraamzorgorganisatie_4</vt:lpstr>
      <vt:lpstr>NaamKraamzorgorganisatie_5</vt:lpstr>
      <vt:lpstr>NaamPraktijk_1</vt:lpstr>
      <vt:lpstr>NaamPraktijk_10</vt:lpstr>
      <vt:lpstr>NaamPraktijk_11</vt:lpstr>
      <vt:lpstr>NaamPraktijk_12</vt:lpstr>
      <vt:lpstr>NaamPraktijk_13</vt:lpstr>
      <vt:lpstr>NaamPraktijk_14</vt:lpstr>
      <vt:lpstr>NaamPraktijk_15</vt:lpstr>
      <vt:lpstr>NaamPraktijk_2</vt:lpstr>
      <vt:lpstr>NaamPraktijk_3</vt:lpstr>
      <vt:lpstr>NaamPraktijk_4</vt:lpstr>
      <vt:lpstr>NaamPraktijk_5</vt:lpstr>
      <vt:lpstr>NaamPraktijk_6</vt:lpstr>
      <vt:lpstr>NaamPraktijk_7</vt:lpstr>
      <vt:lpstr>NaamPraktijk_8</vt:lpstr>
      <vt:lpstr>NaamPraktijk_9</vt:lpstr>
      <vt:lpstr>NaamZiekenhuis_1</vt:lpstr>
      <vt:lpstr>NaamZiekenhuis_2</vt:lpstr>
      <vt:lpstr>NaamZiekenhuis_3</vt:lpstr>
      <vt:lpstr>Overheadkosten_van_de_IGO___zorggroep___…_Beheerskosten_IGO___zorggroep___…</vt:lpstr>
      <vt:lpstr>Overheadkosten_van_de_IGO___zorggroep___…_Innovatie__en_kwaliteitsprojecten</vt:lpstr>
      <vt:lpstr>Overheadkosten_van_de_IGO___zorggroep___…_Overige_kosten</vt:lpstr>
      <vt:lpstr>ZiekenhuisBegeleiding_eindigend__16_wkn_zwangerschap_incl._nazorg</vt:lpstr>
      <vt:lpstr>ZiekenhuisGeboortezorg_nataal</vt:lpstr>
      <vt:lpstr>ZiekenhuisGeboortezorg_nataal_complex</vt:lpstr>
      <vt:lpstr>ZiekenhuisGeboortezorg_nataal_intramuraal_op_eigen_verzoek</vt:lpstr>
      <vt:lpstr>ZiekenhuisGeboortezorg_postnataal</vt:lpstr>
      <vt:lpstr>ZiekenhuisGeboortezorg_postnataal_complex</vt:lpstr>
      <vt:lpstr>ZiekenhuisGeboortezorg_prenataal</vt:lpstr>
      <vt:lpstr>ZiekenhuisGeboortezorg_prenataal_complex</vt:lpstr>
      <vt:lpstr>ZiekenhuisKraamzorg_postnataal_per_uur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de Meij (SiRM)</dc:creator>
  <cp:lastModifiedBy>Saskia van der Erf (SiRM)</cp:lastModifiedBy>
  <dcterms:created xsi:type="dcterms:W3CDTF">2012-03-26T08:17:48Z</dcterms:created>
  <dcterms:modified xsi:type="dcterms:W3CDTF">2023-10-04T15:15:59Z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0x01010079A7AF301F02B8449A5B3B0293B7F346</vt:lpwstr>
  </property>
</Properties>
</file>